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890" activeTab="0"/>
  </bookViews>
  <sheets>
    <sheet name="Blandað bú" sheetId="1" r:id="rId1"/>
    <sheet name="sauðfé" sheetId="2" state="veryHidden" r:id="rId2"/>
    <sheet name="nautgripir" sheetId="3" state="veryHidden" r:id="rId3"/>
    <sheet name="Rammi" sheetId="4" state="veryHidden" r:id="rId4"/>
    <sheet name="Garðyrkja" sheetId="5" state="veryHidden" r:id="rId5"/>
    <sheet name="Garðyrkja-innsláttur" sheetId="6" state="veryHidden" r:id="rId6"/>
  </sheets>
  <definedNames/>
  <calcPr fullCalcOnLoad="1"/>
</workbook>
</file>

<file path=xl/sharedStrings.xml><?xml version="1.0" encoding="utf-8"?>
<sst xmlns="http://schemas.openxmlformats.org/spreadsheetml/2006/main" count="319" uniqueCount="223">
  <si>
    <t>Sauðfjársamningurinn</t>
  </si>
  <si>
    <t>Beingreiðslur grm. 3. gr.</t>
  </si>
  <si>
    <t>Gæðastýring álagsgr. 4. gr.</t>
  </si>
  <si>
    <t>Gripagreiðslur 5. gr.</t>
  </si>
  <si>
    <t>Býlisstuðningur</t>
  </si>
  <si>
    <t>Eftirst. eldri samn. 17. gr.</t>
  </si>
  <si>
    <t>Svæðisbundinn st. 8. gr.</t>
  </si>
  <si>
    <t>Býlisstuðningur 6. gr.</t>
  </si>
  <si>
    <t>Ullarnýting 7. gr.</t>
  </si>
  <si>
    <t>Fjárfestingarstuðn. 9. gr.</t>
  </si>
  <si>
    <t>Aukið virði afurða 10. gr.</t>
  </si>
  <si>
    <t>Samtals sauðfjársamningur</t>
  </si>
  <si>
    <t>Jarðrækt</t>
  </si>
  <si>
    <t>Jarðræktarstuðningur</t>
  </si>
  <si>
    <t>Nýliðun, ranns. og græn verk.</t>
  </si>
  <si>
    <t>Ærgildi á landsvísu</t>
  </si>
  <si>
    <t>Kg. sem njóta álagsgreiðslna</t>
  </si>
  <si>
    <t>Fjárfjöldi 2014</t>
  </si>
  <si>
    <t>Ræktað land ha.</t>
  </si>
  <si>
    <t>Landgreiðslur ha.</t>
  </si>
  <si>
    <t>Nautgriparæktarsamningur</t>
  </si>
  <si>
    <t>Beingreiðslur út á grm. 3. gr. (A)</t>
  </si>
  <si>
    <t>Beingreiðslur út á innv. mjólk 4. gr. (B+C)</t>
  </si>
  <si>
    <t>Gripagreiðslur mjólkurkýr 5. gr.</t>
  </si>
  <si>
    <t>Gripagreiðslur holdakýr 5. gr.</t>
  </si>
  <si>
    <t>Framleiðslujafnvægi 6. gr.</t>
  </si>
  <si>
    <t>Kynbótastarf 7. gr.</t>
  </si>
  <si>
    <t>Fjárfestingarstuðningur 8. gr.</t>
  </si>
  <si>
    <t>Nautakjötsframleiðsla</t>
  </si>
  <si>
    <t>Innvegið magn</t>
  </si>
  <si>
    <t>Núverandi</t>
  </si>
  <si>
    <t>Mjólkurkýr</t>
  </si>
  <si>
    <t>Holdakýr</t>
  </si>
  <si>
    <t>Samtals nautgriparækt</t>
  </si>
  <si>
    <t>Gripagreiðslur hlutfall</t>
  </si>
  <si>
    <t>Hlutfall</t>
  </si>
  <si>
    <t>0&lt;51</t>
  </si>
  <si>
    <t>50&lt;101</t>
  </si>
  <si>
    <t>100&lt;141</t>
  </si>
  <si>
    <t>140&lt;181</t>
  </si>
  <si>
    <t>&gt;180</t>
  </si>
  <si>
    <t>1&lt;201</t>
  </si>
  <si>
    <t>200&lt;221</t>
  </si>
  <si>
    <t>220&lt;241</t>
  </si>
  <si>
    <t>240&lt;261</t>
  </si>
  <si>
    <t>&gt;260</t>
  </si>
  <si>
    <t>Rammasamningur</t>
  </si>
  <si>
    <t>Leiðbeiningaþjónusta 3. gr.</t>
  </si>
  <si>
    <t>Kynbótaverkefni 4. gr.</t>
  </si>
  <si>
    <t>Jarðræktarstyrkir 5. gr.</t>
  </si>
  <si>
    <t>Framleiðnisjóður land. 13. gr.</t>
  </si>
  <si>
    <t>Þróunarfjármunir búgreina 11.gr.</t>
  </si>
  <si>
    <t>Lífræn framleiðsla 7. gr.</t>
  </si>
  <si>
    <t>Skógarafurðir 12. gr.</t>
  </si>
  <si>
    <t>Fjárfestingarsyrkir svínarækt 10.gr.</t>
  </si>
  <si>
    <t>Landgreiðslur 5. gr.</t>
  </si>
  <si>
    <t>Mat á gróðurauðlindum 8. gr.</t>
  </si>
  <si>
    <t>Nýliðun 6. gr.</t>
  </si>
  <si>
    <t>Geitfjárrækt. 9. gr.</t>
  </si>
  <si>
    <t xml:space="preserve">Erfðanefnd landb. 14. gr. </t>
  </si>
  <si>
    <t>Samtals rammasamningur</t>
  </si>
  <si>
    <t>Fj. greiðslumarkshafa</t>
  </si>
  <si>
    <t>pr. lítra</t>
  </si>
  <si>
    <t>pr. kú</t>
  </si>
  <si>
    <t>Ræktað land greiðsla pr. ha.</t>
  </si>
  <si>
    <t>Landgreiðslur greiðsla pr. ha.</t>
  </si>
  <si>
    <t>Svæðisb. stuðn. fjöldi búa (um 180.000 á bú 2014)</t>
  </si>
  <si>
    <t>pr. ærg.</t>
  </si>
  <si>
    <t>pr. kg.</t>
  </si>
  <si>
    <t>pr. kind</t>
  </si>
  <si>
    <t>pr. býli</t>
  </si>
  <si>
    <t>Fé frá</t>
  </si>
  <si>
    <t>Fé til</t>
  </si>
  <si>
    <t>Greiðsla</t>
  </si>
  <si>
    <t>Garðyrkja</t>
  </si>
  <si>
    <t>Beingr. 4.gr.</t>
  </si>
  <si>
    <t>Niðurgr. raforku</t>
  </si>
  <si>
    <t>Samtals</t>
  </si>
  <si>
    <t>Tómatar</t>
  </si>
  <si>
    <t>Gúrkur</t>
  </si>
  <si>
    <t>Paprika</t>
  </si>
  <si>
    <t>Skipting beingr.</t>
  </si>
  <si>
    <t>Greiðslumark í sauðfé</t>
  </si>
  <si>
    <t>Vetrarfóðraðar kindur</t>
  </si>
  <si>
    <t>Fj. mjólkurkúa - árskýr</t>
  </si>
  <si>
    <t>Fj. holdakúa - árskýr</t>
  </si>
  <si>
    <t>Innvegin mjólk</t>
  </si>
  <si>
    <t>Annað uppskorið land ha.</t>
  </si>
  <si>
    <t>Jarðarbætur, kornrækt ofl. ha.</t>
  </si>
  <si>
    <t>Meðalvigt dilka</t>
  </si>
  <si>
    <t>Sauðfé</t>
  </si>
  <si>
    <t>Rammi</t>
  </si>
  <si>
    <t>Reiknivél vegna nýrra búvörusamninga fyrir sauðfjár- og nautgriparækt</t>
  </si>
  <si>
    <t>Samtals nautgriparæktarsamningur</t>
  </si>
  <si>
    <t>Samtals greiðslur skv. rammasamningi</t>
  </si>
  <si>
    <t>Heildargreiðslur skv. samningi</t>
  </si>
  <si>
    <t>Þak á stuðning, hlutfall heildar</t>
  </si>
  <si>
    <t>Hámarksstuðningur, hlutfall heildar</t>
  </si>
  <si>
    <t>Hámarksstuðningur, fjárhæð</t>
  </si>
  <si>
    <t>Þak á stuðning, fjárhæð</t>
  </si>
  <si>
    <t>Innleggsverð</t>
  </si>
  <si>
    <t>afurðarstöðvarverð innan grm.</t>
  </si>
  <si>
    <t>afurðarstöðvarv. umframmjólk</t>
  </si>
  <si>
    <t>Breyting</t>
  </si>
  <si>
    <t>Greiðslumark í mjólk / innanlandsneysla</t>
  </si>
  <si>
    <t>Heildargrm./innanlandsneysla</t>
  </si>
  <si>
    <t>Sauðfjársamningur</t>
  </si>
  <si>
    <t>Samtals framlög</t>
  </si>
  <si>
    <t>Til ráðstöfunar</t>
  </si>
  <si>
    <t>Mitt bú</t>
  </si>
  <si>
    <t>Innleggsverð dilkakjöts</t>
  </si>
  <si>
    <t>Ullarverð</t>
  </si>
  <si>
    <t>Samtals tekjur af sauðfjárframleiðslu</t>
  </si>
  <si>
    <t>Innsláttur í bláa reiti</t>
  </si>
  <si>
    <t>fækkun/minnkun</t>
  </si>
  <si>
    <t xml:space="preserve">Mínustala gefur </t>
  </si>
  <si>
    <t>Afurðarstöðvarverð mjólkur</t>
  </si>
  <si>
    <t>Verð fyrir umframmjólk</t>
  </si>
  <si>
    <t>Samtals tekjur af nautgriparækt</t>
  </si>
  <si>
    <t>Nýr Búvörusamningur</t>
  </si>
  <si>
    <t>Endurskoðun</t>
  </si>
  <si>
    <t>Búgreinatekjur</t>
  </si>
  <si>
    <t>Heildartekjur</t>
  </si>
  <si>
    <t>Núv. samningur</t>
  </si>
  <si>
    <t>Ærkjöt</t>
  </si>
  <si>
    <t>Nautgriparækt</t>
  </si>
  <si>
    <t>Meðal innleggsverð dilka í upphafi</t>
  </si>
  <si>
    <t>Meðal innleggsverð ærkjöts í upphafi</t>
  </si>
  <si>
    <t>Afurðarstöðvarverð innanlands 2016</t>
  </si>
  <si>
    <t>Afurðarstöðvarverð umframmjólk 2017</t>
  </si>
  <si>
    <t xml:space="preserve">Ungnautakjöt innlögð kg. </t>
  </si>
  <si>
    <t>Kýrkjöt innlögð kg.</t>
  </si>
  <si>
    <t>Meðalverð ungnautakjöts í upphafi</t>
  </si>
  <si>
    <t>Meðalverð kýrkjöts í upphafi</t>
  </si>
  <si>
    <t>Viðmiðunartölur fyrir hvert bú. Árleg breyting hefur ekki áhrif á upphafsár eða magntölur hvers bús.</t>
  </si>
  <si>
    <t>Kýrkjöt kg.</t>
  </si>
  <si>
    <t>100% af nautakjöti</t>
  </si>
  <si>
    <t>Nautakjötsframleiðsla-ungnaut</t>
  </si>
  <si>
    <t>Innleggsverð ungnautakjöts</t>
  </si>
  <si>
    <t>Innleggsverð kýrkjöts</t>
  </si>
  <si>
    <t>Jarðræktarstyrkir skv. gr. 5.1</t>
  </si>
  <si>
    <t>Landgreiðslur skv. gr. 5.2</t>
  </si>
  <si>
    <t>Innleggsverð ullar</t>
  </si>
  <si>
    <t>Innleggsverð ærkjöts</t>
  </si>
  <si>
    <t>Umsýslukostnaður</t>
  </si>
  <si>
    <t>Hlutfall umsýslu</t>
  </si>
  <si>
    <t>Niðurstöður reiknivélar</t>
  </si>
  <si>
    <t>Myndir</t>
  </si>
  <si>
    <t>Samtals búgreinatekjur sauðfjár</t>
  </si>
  <si>
    <t>Samtals búgreinatekjur nautgriparæktar</t>
  </si>
  <si>
    <t>Forsendur fyrir myndum</t>
  </si>
  <si>
    <t>Hlutfall greiðslna skv. rammasamningi</t>
  </si>
  <si>
    <t>Hlutfall  greiðslna skv. rammasamningi</t>
  </si>
  <si>
    <t>Heildargreiðslur skv. búvörusamningi</t>
  </si>
  <si>
    <t>Ungnaut sem nýtur stuðnings kg.</t>
  </si>
  <si>
    <t>Greiðslur á ungnautakjötsframleiðslu 9. gr.</t>
  </si>
  <si>
    <t>Skerðing vegna hámarkssgreiðslna 10. gr.</t>
  </si>
  <si>
    <t>Skerðing vegna hámarkssgreiðslna 11. gr.</t>
  </si>
  <si>
    <r>
      <t xml:space="preserve">Svæðisbundinn stuðn. - </t>
    </r>
    <r>
      <rPr>
        <b/>
        <sz val="11"/>
        <color indexed="8"/>
        <rFont val="Calibri"/>
        <family val="2"/>
      </rPr>
      <t>skrá 1 eða 0</t>
    </r>
  </si>
  <si>
    <t>Hlutfall stuðnings af framlagi 2017</t>
  </si>
  <si>
    <t>Hlutfall af 2017</t>
  </si>
  <si>
    <t>Mínar forsendur á upphafsgildum</t>
  </si>
  <si>
    <t>Innlögð kg. ærkjöts</t>
  </si>
  <si>
    <t>Þín spá um árlega þróun á landsvísu</t>
  </si>
  <si>
    <t>Þín spá samtals yfir samningstíma</t>
  </si>
  <si>
    <t>Milljón lítra - Innvegin mjólk 2016 á landsvísu, upphafsgildi</t>
  </si>
  <si>
    <t>Tonn - Landsframleiðsla dilkakjöts sem nýtur álagsgreiðslna, sjálfgefið 5 ára meðaltal, upphafsgildi</t>
  </si>
  <si>
    <t>Vatnshalli búvörusamninga</t>
  </si>
  <si>
    <t>Hlutfall af 2016</t>
  </si>
  <si>
    <t>Samtals stuðningur við sauðfjárrækt</t>
  </si>
  <si>
    <t>Samtals stuðningur við nautgriparækt</t>
  </si>
  <si>
    <t>Greiðslur skv. ramma, hlutfall sauðfjárræktar m.v. bústofn</t>
  </si>
  <si>
    <t>Greiðslur skv. ramma, hlutfall nautgiparæktar m.v. bústofn</t>
  </si>
  <si>
    <t>Hlutfall heildarstuðnings búvörusamninga af 2017 - vatnshalli</t>
  </si>
  <si>
    <t>Hlutfall 2016</t>
  </si>
  <si>
    <t>Rammi - útreikningur, í samtölu búgreina</t>
  </si>
  <si>
    <t>Framleitt magn</t>
  </si>
  <si>
    <t>Raforka</t>
  </si>
  <si>
    <t>Þéttbýli</t>
  </si>
  <si>
    <t>Dreifbýli</t>
  </si>
  <si>
    <t xml:space="preserve">Útgáfa 1 </t>
  </si>
  <si>
    <t>Reiknivél vegna nýrra búvörusamninga fyrir ylrækt</t>
  </si>
  <si>
    <t>Viðmiðunartölur fyrir hvern framleiðanda. Árleg breyting hefur ekki áhrif á upphafsár eða magntölur hvers bús.</t>
  </si>
  <si>
    <t>Seldir tómatar, kg.</t>
  </si>
  <si>
    <t>Seldar gúrkur, kg.</t>
  </si>
  <si>
    <t>Seldar paprikur, kg.</t>
  </si>
  <si>
    <t>Minn taxti fyrir flutning og dreifingu</t>
  </si>
  <si>
    <t>Upphafsgildi</t>
  </si>
  <si>
    <t>Keypt rafmagn til lýsingar á ári, kWst.</t>
  </si>
  <si>
    <t>Tómatar, selt magn á landsvísu, tonn</t>
  </si>
  <si>
    <t>Gúrkur, selt magn á landsvísu, tonn</t>
  </si>
  <si>
    <t>Paprikur, selt magn á landsvísu, tonn</t>
  </si>
  <si>
    <t>GWst</t>
  </si>
  <si>
    <t>Verð kWst.</t>
  </si>
  <si>
    <t>Rarik</t>
  </si>
  <si>
    <t>vegið</t>
  </si>
  <si>
    <t>hl.verð</t>
  </si>
  <si>
    <t>end.gr.hl</t>
  </si>
  <si>
    <t>gamli</t>
  </si>
  <si>
    <t>nýi</t>
  </si>
  <si>
    <t>magn</t>
  </si>
  <si>
    <t>Ef jafnt greitt á hverja kWst m.v. nýttar stundir</t>
  </si>
  <si>
    <t>Hámarksgreiðsla kr/kWst. m.v. notkun</t>
  </si>
  <si>
    <t>Notuð raforka til lýsingar á landsvísu,GWst.</t>
  </si>
  <si>
    <t>Greiðslur fyrir tómata</t>
  </si>
  <si>
    <t>Greiðslur fyrir gúrkur</t>
  </si>
  <si>
    <t>Greiðslur fyrir papriku</t>
  </si>
  <si>
    <t>Niðurgreiðsla raforku</t>
  </si>
  <si>
    <t>Skerðing vegna hámarkssgreiðslna</t>
  </si>
  <si>
    <t>Samtals stuðningur við garðyrkju</t>
  </si>
  <si>
    <t>Niðurgreiðsla kr/kWst.</t>
  </si>
  <si>
    <t xml:space="preserve">Greiðsla á kg. </t>
  </si>
  <si>
    <t>Skerðingarmörk</t>
  </si>
  <si>
    <t>Einingaverð</t>
  </si>
  <si>
    <t>EININGAVERÐ</t>
  </si>
  <si>
    <t>gWst. landsvísu</t>
  </si>
  <si>
    <t>Hlutfall ungnautakjöts af minni framleiðslu sem fær álagsgreiðslur</t>
  </si>
  <si>
    <t>Fjöldi innlagðra lamba í sláturhús (fædd lömb mínus ásetningslömb og vanhöld)</t>
  </si>
  <si>
    <t>Innlögð kg. dilka (fjöldi * meðalvigt)</t>
  </si>
  <si>
    <t>Verðbólguspá</t>
  </si>
  <si>
    <t>Árleg verðbólguspá fyrir greiðslur skv. búvörusamningum</t>
  </si>
  <si>
    <r>
      <t xml:space="preserve">Niðurstöður reiknivélar </t>
    </r>
    <r>
      <rPr>
        <b/>
        <sz val="16"/>
        <color indexed="10"/>
        <rFont val="Calibri"/>
        <family val="2"/>
      </rPr>
      <t>útg. 3</t>
    </r>
  </si>
  <si>
    <t>Útgáfa 3</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</si>
</sst>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_ ;\-0\ "/>
    <numFmt numFmtId="165" formatCode="0.0"/>
    <numFmt numFmtId="166" formatCode="_-* #,##0.0\ _k_r_._-;\-* #,##0.0\ _k_r_._-;_-* &quot;-&quot;\ _k_r_._-;_-@_-"/>
    <numFmt numFmtId="167" formatCode="_-* #,##0.00\ _k_r_._-;\-* #,##0.00\ _k_r_._-;_-* &quot;-&quot;\ _k_r_._-;_-@_-"/>
    <numFmt numFmtId="168" formatCode="0.0%"/>
    <numFmt numFmtId="169" formatCode="#,##0_ ;\-#,##0\ "/>
    <numFmt numFmtId="170" formatCode="0.000"/>
    <numFmt numFmtId="171" formatCode="&quot;kr.&quot;#,##0_);\(&quot;kr.&quot;#,##0\)"/>
  </numFmts>
  <fonts count="71">
    <font>
      <sz val="11"/>
      <color theme="1"/>
      <name val="Calibri"/>
      <family val="2"/>
    </font>
    <font>
      <sz val="10"/>
      <color indexed="8"/>
      <name val="Arial"/>
      <family val="2"/>
    </font>
    <font>
      <sz val="11"/>
      <color indexed="8"/>
      <name val="Calibri"/>
      <family val="2"/>
    </font>
    <font>
      <b/>
      <sz val="11"/>
      <color indexed="8"/>
      <name val="Calibri"/>
      <family val="2"/>
    </font>
    <font>
      <b/>
      <sz val="14"/>
      <color indexed="8"/>
      <name val="Calibri"/>
      <family val="2"/>
    </font>
    <font>
      <sz val="10"/>
      <color indexed="8"/>
      <name val="Calibri"/>
      <family val="2"/>
    </font>
    <font>
      <b/>
      <sz val="16"/>
      <color indexed="8"/>
      <name val="Calibri"/>
      <family val="2"/>
    </font>
    <font>
      <b/>
      <sz val="18"/>
      <color indexed="8"/>
      <name val="Calibri"/>
      <family val="2"/>
    </font>
    <font>
      <b/>
      <sz val="11"/>
      <color indexed="9"/>
      <name val="Calibri"/>
      <family val="2"/>
    </font>
    <font>
      <sz val="11"/>
      <color indexed="9"/>
      <name val="Calibri"/>
      <family val="2"/>
    </font>
    <font>
      <b/>
      <sz val="20"/>
      <color indexed="8"/>
      <name val="Calibri"/>
      <family val="2"/>
    </font>
    <font>
      <sz val="11"/>
      <color indexed="10"/>
      <name val="Calibri"/>
      <family val="2"/>
    </font>
    <font>
      <b/>
      <sz val="11"/>
      <color indexed="10"/>
      <name val="Calibri"/>
      <family val="2"/>
    </font>
    <font>
      <b/>
      <sz val="12"/>
      <color indexed="10"/>
      <name val="Calibri"/>
      <family val="2"/>
    </font>
    <font>
      <b/>
      <sz val="16"/>
      <color indexed="10"/>
      <name val="Calibri"/>
      <family val="2"/>
    </font>
    <font>
      <b/>
      <sz val="12"/>
      <color indexed="8"/>
      <name val="Calibri"/>
      <family val="2"/>
    </font>
    <font>
      <b/>
      <sz val="18"/>
      <color indexed="10"/>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5"/>
      <color indexed="10"/>
      <name val="Calibri"/>
      <family val="0"/>
    </font>
    <font>
      <sz val="10.5"/>
      <color indexed="10"/>
      <name val="Calibri"/>
      <family val="0"/>
    </font>
    <font>
      <b/>
      <sz val="10"/>
      <color indexed="8"/>
      <name val="Calibri"/>
      <family val="0"/>
    </font>
    <font>
      <sz val="10"/>
      <color indexed="10"/>
      <name val="Calibri"/>
      <family val="0"/>
    </font>
    <font>
      <sz val="12"/>
      <color indexed="8"/>
      <name val="Calibri"/>
      <family val="0"/>
    </font>
    <font>
      <sz val="9"/>
      <color indexed="63"/>
      <name val="Calibri"/>
      <family val="0"/>
    </font>
    <font>
      <sz val="14"/>
      <color indexed="63"/>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
      <b/>
      <sz val="14"/>
      <color theme="1"/>
      <name val="Calibri"/>
      <family val="2"/>
    </font>
    <font>
      <sz val="10"/>
      <color theme="1"/>
      <name val="Calibri"/>
      <family val="2"/>
    </font>
    <font>
      <b/>
      <sz val="16"/>
      <color theme="1"/>
      <name val="Calibri"/>
      <family val="2"/>
    </font>
    <font>
      <b/>
      <sz val="18"/>
      <color theme="1"/>
      <name val="Calibri"/>
      <family val="2"/>
    </font>
    <font>
      <b/>
      <sz val="20"/>
      <color theme="1"/>
      <name val="Calibri"/>
      <family val="2"/>
    </font>
    <font>
      <sz val="11"/>
      <color theme="0"/>
      <name val="Calibri"/>
      <family val="2"/>
    </font>
    <font>
      <b/>
      <sz val="11"/>
      <color theme="0"/>
      <name val="Calibri"/>
      <family val="2"/>
    </font>
    <font>
      <b/>
      <sz val="11"/>
      <color rgb="FFFF0000"/>
      <name val="Calibri"/>
      <family val="2"/>
    </font>
    <font>
      <b/>
      <sz val="16"/>
      <color rgb="FFFF0000"/>
      <name val="Calibri"/>
      <family val="2"/>
    </font>
    <font>
      <b/>
      <sz val="12"/>
      <color theme="1"/>
      <name val="Calibri"/>
      <family val="2"/>
    </font>
    <font>
      <sz val="11"/>
      <color rgb="FFFF0000"/>
      <name val="Calibri"/>
      <family val="2"/>
    </font>
    <font>
      <b/>
      <sz val="12"/>
      <color rgb="FFFF0000"/>
      <name val="Calibri"/>
      <family val="2"/>
    </font>
    <font>
      <b/>
      <sz val="1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top style="thin"/>
      <bottom style="medium"/>
    </border>
    <border>
      <left/>
      <right/>
      <top style="thin"/>
      <bottom/>
    </border>
    <border>
      <left/>
      <right/>
      <top style="thin"/>
      <bottom style="thin"/>
    </border>
    <border>
      <left/>
      <right style="medium"/>
      <top/>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bottom style="thin"/>
    </border>
    <border>
      <left/>
      <right/>
      <top style="medium"/>
      <bottom style="medium"/>
    </border>
    <border>
      <left/>
      <right style="medium"/>
      <top style="medium"/>
      <bottom style="medium"/>
    </border>
    <border>
      <left style="medium"/>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8">
    <xf numFmtId="0" fontId="0" fillId="0" borderId="0" xfId="0" applyFont="1" applyAlignment="1">
      <alignment/>
    </xf>
    <xf numFmtId="0" fontId="57" fillId="0" borderId="0" xfId="0" applyFont="1" applyAlignment="1">
      <alignment/>
    </xf>
    <xf numFmtId="41" fontId="0" fillId="0" borderId="0" xfId="43" applyFont="1" applyAlignment="1">
      <alignment/>
    </xf>
    <xf numFmtId="9" fontId="0" fillId="0" borderId="0" xfId="0" applyNumberFormat="1" applyAlignment="1">
      <alignment/>
    </xf>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xf>
    <xf numFmtId="0" fontId="58" fillId="0" borderId="0" xfId="0" applyFont="1" applyAlignment="1">
      <alignment/>
    </xf>
    <xf numFmtId="0" fontId="0" fillId="0" borderId="0" xfId="0" applyFill="1" applyAlignment="1">
      <alignment/>
    </xf>
    <xf numFmtId="0" fontId="0" fillId="0" borderId="10" xfId="0" applyBorder="1" applyAlignment="1">
      <alignment/>
    </xf>
    <xf numFmtId="0" fontId="57" fillId="0" borderId="11" xfId="0" applyFont="1" applyBorder="1" applyAlignment="1">
      <alignment horizontal="center"/>
    </xf>
    <xf numFmtId="0" fontId="57" fillId="0" borderId="12" xfId="0" applyFont="1" applyBorder="1" applyAlignment="1">
      <alignment horizontal="center" wrapText="1"/>
    </xf>
    <xf numFmtId="0" fontId="0" fillId="0" borderId="13" xfId="0" applyBorder="1" applyAlignment="1">
      <alignment/>
    </xf>
    <xf numFmtId="0" fontId="0" fillId="0" borderId="14" xfId="0" applyBorder="1" applyAlignment="1">
      <alignment/>
    </xf>
    <xf numFmtId="0" fontId="0" fillId="0" borderId="10" xfId="0" applyFill="1" applyBorder="1" applyAlignment="1">
      <alignment/>
    </xf>
    <xf numFmtId="41" fontId="0" fillId="0" borderId="13" xfId="43" applyFont="1" applyFill="1" applyBorder="1" applyAlignment="1" applyProtection="1">
      <alignment/>
      <protection/>
    </xf>
    <xf numFmtId="41" fontId="59" fillId="2" borderId="0" xfId="43" applyFont="1" applyFill="1" applyBorder="1" applyAlignment="1" applyProtection="1">
      <alignment/>
      <protection locked="0"/>
    </xf>
    <xf numFmtId="41" fontId="59" fillId="0" borderId="0" xfId="43" applyFont="1" applyFill="1" applyBorder="1" applyAlignment="1" applyProtection="1">
      <alignment/>
      <protection/>
    </xf>
    <xf numFmtId="41" fontId="59" fillId="2" borderId="15" xfId="43" applyFont="1" applyFill="1" applyBorder="1" applyAlignment="1" applyProtection="1">
      <alignment/>
      <protection locked="0"/>
    </xf>
    <xf numFmtId="41" fontId="59" fillId="2" borderId="11" xfId="43" applyFont="1" applyFill="1" applyBorder="1" applyAlignment="1" applyProtection="1">
      <alignment/>
      <protection locked="0"/>
    </xf>
    <xf numFmtId="0" fontId="0" fillId="0" borderId="12" xfId="0" applyBorder="1" applyAlignment="1">
      <alignment/>
    </xf>
    <xf numFmtId="41" fontId="0" fillId="0" borderId="14" xfId="43" applyFont="1" applyFill="1" applyBorder="1" applyAlignment="1" applyProtection="1">
      <alignment/>
      <protection/>
    </xf>
    <xf numFmtId="0" fontId="0" fillId="12" borderId="0" xfId="0" applyFill="1" applyAlignment="1">
      <alignment/>
    </xf>
    <xf numFmtId="0" fontId="57" fillId="11" borderId="16" xfId="0" applyFont="1" applyFill="1" applyBorder="1" applyAlignment="1">
      <alignment/>
    </xf>
    <xf numFmtId="0" fontId="0" fillId="11" borderId="16" xfId="0" applyFill="1" applyBorder="1" applyAlignment="1">
      <alignment/>
    </xf>
    <xf numFmtId="0" fontId="60" fillId="12" borderId="0" xfId="0" applyFont="1" applyFill="1" applyAlignment="1">
      <alignment vertical="center"/>
    </xf>
    <xf numFmtId="0" fontId="57" fillId="12" borderId="0" xfId="0" applyFont="1" applyFill="1" applyAlignment="1">
      <alignment horizontal="center" wrapText="1"/>
    </xf>
    <xf numFmtId="0" fontId="57" fillId="12" borderId="0" xfId="0" applyFont="1" applyFill="1" applyAlignment="1">
      <alignment/>
    </xf>
    <xf numFmtId="0" fontId="57" fillId="12" borderId="0" xfId="0" applyFont="1" applyFill="1" applyAlignment="1">
      <alignment horizontal="right"/>
    </xf>
    <xf numFmtId="0" fontId="61" fillId="0" borderId="0" xfId="0" applyFont="1" applyAlignment="1">
      <alignment vertical="center"/>
    </xf>
    <xf numFmtId="0" fontId="0" fillId="0" borderId="0" xfId="0" applyAlignment="1" applyProtection="1">
      <alignment/>
      <protection hidden="1"/>
    </xf>
    <xf numFmtId="41" fontId="0" fillId="0" borderId="0" xfId="43" applyFont="1" applyAlignment="1" applyProtection="1">
      <alignment/>
      <protection hidden="1"/>
    </xf>
    <xf numFmtId="0" fontId="57" fillId="11" borderId="17" xfId="0" applyFont="1" applyFill="1" applyBorder="1" applyAlignment="1" applyProtection="1">
      <alignment/>
      <protection hidden="1"/>
    </xf>
    <xf numFmtId="0" fontId="0" fillId="11" borderId="17" xfId="0" applyFill="1" applyBorder="1" applyAlignment="1" applyProtection="1">
      <alignment/>
      <protection hidden="1"/>
    </xf>
    <xf numFmtId="0" fontId="57" fillId="11" borderId="18" xfId="0" applyFont="1" applyFill="1" applyBorder="1" applyAlignment="1" applyProtection="1">
      <alignment/>
      <protection hidden="1"/>
    </xf>
    <xf numFmtId="0" fontId="0" fillId="11" borderId="18" xfId="0" applyFill="1" applyBorder="1" applyAlignment="1" applyProtection="1">
      <alignment/>
      <protection hidden="1"/>
    </xf>
    <xf numFmtId="41" fontId="57" fillId="11" borderId="18" xfId="0" applyNumberFormat="1" applyFont="1" applyFill="1" applyBorder="1" applyAlignment="1" applyProtection="1">
      <alignment/>
      <protection hidden="1"/>
    </xf>
    <xf numFmtId="168" fontId="57" fillId="11" borderId="18" xfId="57" applyNumberFormat="1" applyFont="1" applyFill="1" applyBorder="1" applyAlignment="1" applyProtection="1">
      <alignment horizontal="center"/>
      <protection hidden="1"/>
    </xf>
    <xf numFmtId="0" fontId="0" fillId="0" borderId="0" xfId="0" applyFont="1" applyAlignment="1" applyProtection="1">
      <alignment/>
      <protection hidden="1"/>
    </xf>
    <xf numFmtId="0" fontId="0" fillId="0" borderId="0" xfId="0" applyFill="1" applyAlignment="1" applyProtection="1">
      <alignment/>
      <protection hidden="1"/>
    </xf>
    <xf numFmtId="0" fontId="57" fillId="9" borderId="16" xfId="0" applyFont="1" applyFill="1" applyBorder="1" applyAlignment="1" applyProtection="1">
      <alignment/>
      <protection hidden="1"/>
    </xf>
    <xf numFmtId="0" fontId="0" fillId="9" borderId="16" xfId="0" applyFill="1" applyBorder="1" applyAlignment="1" applyProtection="1">
      <alignment/>
      <protection hidden="1"/>
    </xf>
    <xf numFmtId="0" fontId="57" fillId="9" borderId="18" xfId="0" applyFont="1" applyFill="1" applyBorder="1" applyAlignment="1" applyProtection="1">
      <alignment/>
      <protection hidden="1"/>
    </xf>
    <xf numFmtId="0" fontId="0" fillId="9" borderId="18" xfId="0" applyFill="1" applyBorder="1" applyAlignment="1" applyProtection="1">
      <alignment/>
      <protection hidden="1"/>
    </xf>
    <xf numFmtId="41" fontId="57" fillId="9" borderId="18" xfId="0" applyNumberFormat="1" applyFont="1" applyFill="1" applyBorder="1" applyAlignment="1" applyProtection="1">
      <alignment/>
      <protection hidden="1"/>
    </xf>
    <xf numFmtId="168" fontId="57" fillId="9" borderId="18" xfId="57" applyNumberFormat="1" applyFont="1" applyFill="1" applyBorder="1" applyAlignment="1" applyProtection="1">
      <alignment horizontal="center"/>
      <protection hidden="1"/>
    </xf>
    <xf numFmtId="0" fontId="57" fillId="9" borderId="17" xfId="0" applyFont="1" applyFill="1" applyBorder="1" applyAlignment="1" applyProtection="1">
      <alignment/>
      <protection hidden="1"/>
    </xf>
    <xf numFmtId="0" fontId="0" fillId="9" borderId="17" xfId="0" applyFill="1" applyBorder="1" applyAlignment="1" applyProtection="1">
      <alignment/>
      <protection hidden="1"/>
    </xf>
    <xf numFmtId="0" fontId="57" fillId="13" borderId="16" xfId="0" applyFont="1" applyFill="1" applyBorder="1" applyAlignment="1" applyProtection="1">
      <alignment/>
      <protection hidden="1"/>
    </xf>
    <xf numFmtId="0" fontId="0" fillId="13" borderId="16" xfId="0" applyFill="1" applyBorder="1" applyAlignment="1" applyProtection="1">
      <alignment/>
      <protection hidden="1"/>
    </xf>
    <xf numFmtId="41" fontId="0" fillId="0" borderId="0" xfId="0" applyNumberFormat="1" applyAlignment="1" applyProtection="1">
      <alignment/>
      <protection hidden="1"/>
    </xf>
    <xf numFmtId="0" fontId="57" fillId="13" borderId="17" xfId="0" applyFont="1" applyFill="1" applyBorder="1" applyAlignment="1" applyProtection="1">
      <alignment/>
      <protection hidden="1"/>
    </xf>
    <xf numFmtId="0" fontId="0" fillId="13" borderId="17" xfId="0" applyFill="1" applyBorder="1" applyAlignment="1" applyProtection="1">
      <alignment/>
      <protection hidden="1"/>
    </xf>
    <xf numFmtId="0" fontId="57" fillId="13" borderId="18" xfId="0" applyFont="1" applyFill="1" applyBorder="1" applyAlignment="1" applyProtection="1">
      <alignment/>
      <protection hidden="1"/>
    </xf>
    <xf numFmtId="0" fontId="0" fillId="13" borderId="18" xfId="0" applyFill="1" applyBorder="1" applyAlignment="1" applyProtection="1">
      <alignment/>
      <protection hidden="1"/>
    </xf>
    <xf numFmtId="41" fontId="57" fillId="13" borderId="18" xfId="0" applyNumberFormat="1" applyFont="1" applyFill="1" applyBorder="1" applyAlignment="1" applyProtection="1">
      <alignment/>
      <protection hidden="1"/>
    </xf>
    <xf numFmtId="168" fontId="57" fillId="13" borderId="18" xfId="57" applyNumberFormat="1" applyFont="1" applyFill="1" applyBorder="1" applyAlignment="1" applyProtection="1">
      <alignment horizontal="center"/>
      <protection hidden="1"/>
    </xf>
    <xf numFmtId="0" fontId="57" fillId="12" borderId="16" xfId="0" applyFont="1" applyFill="1" applyBorder="1" applyAlignment="1" applyProtection="1">
      <alignment/>
      <protection hidden="1"/>
    </xf>
    <xf numFmtId="0" fontId="0" fillId="12" borderId="16" xfId="0" applyFill="1" applyBorder="1" applyAlignment="1" applyProtection="1">
      <alignment/>
      <protection hidden="1"/>
    </xf>
    <xf numFmtId="0" fontId="57" fillId="12" borderId="18" xfId="0" applyFont="1" applyFill="1" applyBorder="1" applyAlignment="1" applyProtection="1">
      <alignment/>
      <protection hidden="1"/>
    </xf>
    <xf numFmtId="0" fontId="0" fillId="12" borderId="18" xfId="0" applyFill="1" applyBorder="1" applyAlignment="1" applyProtection="1">
      <alignment/>
      <protection hidden="1"/>
    </xf>
    <xf numFmtId="41" fontId="57" fillId="12" borderId="18" xfId="0" applyNumberFormat="1" applyFont="1" applyFill="1" applyBorder="1" applyAlignment="1" applyProtection="1">
      <alignment/>
      <protection hidden="1"/>
    </xf>
    <xf numFmtId="168" fontId="57" fillId="12" borderId="18" xfId="57" applyNumberFormat="1" applyFont="1" applyFill="1" applyBorder="1" applyAlignment="1" applyProtection="1">
      <alignment horizontal="center"/>
      <protection hidden="1"/>
    </xf>
    <xf numFmtId="0" fontId="57" fillId="12" borderId="17" xfId="0" applyFont="1" applyFill="1" applyBorder="1" applyAlignment="1" applyProtection="1">
      <alignment/>
      <protection hidden="1"/>
    </xf>
    <xf numFmtId="0" fontId="0" fillId="12" borderId="17" xfId="0" applyFill="1" applyBorder="1" applyAlignment="1" applyProtection="1">
      <alignment/>
      <protection hidden="1"/>
    </xf>
    <xf numFmtId="10" fontId="0" fillId="0" borderId="0" xfId="43" applyNumberFormat="1" applyFont="1" applyAlignment="1" applyProtection="1">
      <alignment/>
      <protection hidden="1"/>
    </xf>
    <xf numFmtId="0" fontId="57" fillId="0" borderId="0" xfId="0" applyFont="1" applyAlignment="1" applyProtection="1">
      <alignment/>
      <protection hidden="1"/>
    </xf>
    <xf numFmtId="41" fontId="57" fillId="0" borderId="0" xfId="43" applyFont="1" applyAlignment="1" applyProtection="1">
      <alignment/>
      <protection hidden="1"/>
    </xf>
    <xf numFmtId="10" fontId="0" fillId="0" borderId="0" xfId="0" applyNumberFormat="1" applyAlignment="1" applyProtection="1">
      <alignment/>
      <protection hidden="1"/>
    </xf>
    <xf numFmtId="10" fontId="0" fillId="0" borderId="0" xfId="57" applyNumberFormat="1" applyFont="1" applyAlignment="1" applyProtection="1">
      <alignment/>
      <protection hidden="1"/>
    </xf>
    <xf numFmtId="9" fontId="0" fillId="0" borderId="0" xfId="57" applyFont="1" applyAlignment="1" applyProtection="1">
      <alignment/>
      <protection hidden="1"/>
    </xf>
    <xf numFmtId="9" fontId="0" fillId="0" borderId="0" xfId="0" applyNumberFormat="1" applyAlignment="1" applyProtection="1">
      <alignment/>
      <protection hidden="1"/>
    </xf>
    <xf numFmtId="166" fontId="0" fillId="0" borderId="0" xfId="43" applyNumberFormat="1" applyFont="1" applyFill="1" applyBorder="1" applyAlignment="1" applyProtection="1">
      <alignment/>
      <protection/>
    </xf>
    <xf numFmtId="41" fontId="0" fillId="0" borderId="0" xfId="43" applyFont="1" applyFill="1" applyBorder="1" applyAlignment="1" applyProtection="1">
      <alignment/>
      <protection/>
    </xf>
    <xf numFmtId="41" fontId="59" fillId="2" borderId="12" xfId="43" applyFont="1" applyFill="1" applyBorder="1" applyAlignment="1" applyProtection="1">
      <alignment/>
      <protection locked="0"/>
    </xf>
    <xf numFmtId="41" fontId="59" fillId="2" borderId="19" xfId="43" applyFont="1" applyFill="1" applyBorder="1" applyAlignment="1" applyProtection="1">
      <alignment/>
      <protection locked="0"/>
    </xf>
    <xf numFmtId="41" fontId="59" fillId="2" borderId="20" xfId="43" applyFont="1" applyFill="1" applyBorder="1" applyAlignment="1" applyProtection="1">
      <alignment/>
      <protection locked="0"/>
    </xf>
    <xf numFmtId="166" fontId="59" fillId="2" borderId="19" xfId="43" applyNumberFormat="1" applyFont="1" applyFill="1" applyBorder="1" applyAlignment="1" applyProtection="1">
      <alignment/>
      <protection locked="0"/>
    </xf>
    <xf numFmtId="0" fontId="0" fillId="0" borderId="10" xfId="0" applyBorder="1" applyAlignment="1">
      <alignment wrapText="1"/>
    </xf>
    <xf numFmtId="0" fontId="57" fillId="12" borderId="0" xfId="0" applyFont="1" applyFill="1" applyBorder="1" applyAlignment="1" applyProtection="1">
      <alignment/>
      <protection hidden="1"/>
    </xf>
    <xf numFmtId="9" fontId="0" fillId="0" borderId="0" xfId="57" applyFont="1" applyAlignment="1">
      <alignment/>
    </xf>
    <xf numFmtId="0" fontId="57" fillId="0" borderId="0" xfId="0" applyFont="1" applyFill="1" applyBorder="1" applyAlignment="1" applyProtection="1">
      <alignment/>
      <protection hidden="1"/>
    </xf>
    <xf numFmtId="5" fontId="0" fillId="0" borderId="0" xfId="0" applyNumberFormat="1" applyAlignment="1">
      <alignment/>
    </xf>
    <xf numFmtId="0" fontId="62" fillId="12" borderId="0" xfId="0" applyFont="1" applyFill="1" applyBorder="1" applyAlignment="1" applyProtection="1">
      <alignment/>
      <protection hidden="1"/>
    </xf>
    <xf numFmtId="0" fontId="63" fillId="0" borderId="0" xfId="0" applyFont="1" applyFill="1" applyBorder="1" applyAlignment="1" applyProtection="1">
      <alignment/>
      <protection hidden="1"/>
    </xf>
    <xf numFmtId="0" fontId="63" fillId="0" borderId="0" xfId="0" applyFont="1" applyAlignment="1">
      <alignment/>
    </xf>
    <xf numFmtId="0" fontId="64" fillId="0" borderId="0" xfId="0" applyFont="1" applyFill="1" applyBorder="1" applyAlignment="1" applyProtection="1">
      <alignment/>
      <protection hidden="1"/>
    </xf>
    <xf numFmtId="169" fontId="0" fillId="33" borderId="0" xfId="43" applyNumberFormat="1" applyFont="1" applyFill="1" applyAlignment="1" applyProtection="1">
      <alignment/>
      <protection hidden="1"/>
    </xf>
    <xf numFmtId="169" fontId="0" fillId="0" borderId="0" xfId="43" applyNumberFormat="1" applyFont="1" applyAlignment="1" applyProtection="1">
      <alignment/>
      <protection hidden="1"/>
    </xf>
    <xf numFmtId="169" fontId="57" fillId="11" borderId="17" xfId="0" applyNumberFormat="1" applyFont="1" applyFill="1" applyBorder="1" applyAlignment="1" applyProtection="1">
      <alignment/>
      <protection hidden="1"/>
    </xf>
    <xf numFmtId="169" fontId="57" fillId="11" borderId="17" xfId="43" applyNumberFormat="1" applyFont="1" applyFill="1" applyBorder="1" applyAlignment="1" applyProtection="1">
      <alignment/>
      <protection hidden="1"/>
    </xf>
    <xf numFmtId="169" fontId="0" fillId="33" borderId="0" xfId="0" applyNumberFormat="1" applyFill="1" applyAlignment="1" applyProtection="1">
      <alignment/>
      <protection hidden="1"/>
    </xf>
    <xf numFmtId="169" fontId="0" fillId="0" borderId="0" xfId="0" applyNumberFormat="1" applyFill="1" applyAlignment="1" applyProtection="1">
      <alignment/>
      <protection hidden="1"/>
    </xf>
    <xf numFmtId="169" fontId="0" fillId="0" borderId="0" xfId="43" applyNumberFormat="1" applyFont="1" applyFill="1" applyAlignment="1" applyProtection="1">
      <alignment/>
      <protection hidden="1"/>
    </xf>
    <xf numFmtId="169" fontId="57" fillId="9" borderId="16" xfId="43" applyNumberFormat="1" applyFont="1" applyFill="1" applyBorder="1" applyAlignment="1" applyProtection="1">
      <alignment/>
      <protection hidden="1"/>
    </xf>
    <xf numFmtId="169" fontId="57" fillId="9" borderId="17" xfId="43" applyNumberFormat="1" applyFont="1" applyFill="1" applyBorder="1" applyAlignment="1" applyProtection="1">
      <alignment/>
      <protection hidden="1"/>
    </xf>
    <xf numFmtId="169" fontId="0" fillId="0" borderId="0" xfId="0" applyNumberFormat="1" applyAlignment="1" applyProtection="1">
      <alignment/>
      <protection hidden="1"/>
    </xf>
    <xf numFmtId="169" fontId="57" fillId="13" borderId="17" xfId="0" applyNumberFormat="1" applyFont="1" applyFill="1" applyBorder="1" applyAlignment="1" applyProtection="1">
      <alignment/>
      <protection hidden="1"/>
    </xf>
    <xf numFmtId="169" fontId="57" fillId="12" borderId="16" xfId="0" applyNumberFormat="1" applyFont="1" applyFill="1" applyBorder="1" applyAlignment="1" applyProtection="1">
      <alignment/>
      <protection hidden="1"/>
    </xf>
    <xf numFmtId="169" fontId="57" fillId="12" borderId="17" xfId="0" applyNumberFormat="1" applyFont="1" applyFill="1" applyBorder="1" applyAlignment="1" applyProtection="1">
      <alignment/>
      <protection hidden="1"/>
    </xf>
    <xf numFmtId="0" fontId="0" fillId="0" borderId="0" xfId="0" applyBorder="1" applyAlignment="1" applyProtection="1">
      <alignment/>
      <protection/>
    </xf>
    <xf numFmtId="41" fontId="0" fillId="0" borderId="10" xfId="43" applyFont="1" applyFill="1" applyBorder="1" applyAlignment="1" applyProtection="1">
      <alignment/>
      <protection/>
    </xf>
    <xf numFmtId="41" fontId="0" fillId="0" borderId="11" xfId="43" applyFont="1" applyFill="1" applyBorder="1" applyAlignment="1" applyProtection="1">
      <alignment/>
      <protection/>
    </xf>
    <xf numFmtId="0" fontId="0" fillId="0" borderId="0" xfId="0" applyBorder="1" applyAlignment="1">
      <alignment/>
    </xf>
    <xf numFmtId="41" fontId="57" fillId="0" borderId="0" xfId="43" applyFont="1" applyFill="1" applyBorder="1" applyAlignment="1" applyProtection="1">
      <alignment horizontal="center"/>
      <protection/>
    </xf>
    <xf numFmtId="41" fontId="59" fillId="0" borderId="0" xfId="43" applyFont="1" applyFill="1" applyBorder="1" applyAlignment="1" applyProtection="1">
      <alignment/>
      <protection locked="0"/>
    </xf>
    <xf numFmtId="168" fontId="0" fillId="0" borderId="0" xfId="0" applyNumberFormat="1" applyAlignment="1">
      <alignment/>
    </xf>
    <xf numFmtId="166" fontId="59" fillId="2" borderId="0" xfId="43" applyNumberFormat="1" applyFont="1" applyFill="1" applyBorder="1" applyAlignment="1" applyProtection="1">
      <alignment/>
      <protection locked="0"/>
    </xf>
    <xf numFmtId="0" fontId="57" fillId="0" borderId="10" xfId="0" applyFont="1" applyBorder="1" applyAlignment="1">
      <alignment/>
    </xf>
    <xf numFmtId="0" fontId="0" fillId="0" borderId="11" xfId="0" applyBorder="1" applyAlignment="1">
      <alignment/>
    </xf>
    <xf numFmtId="41" fontId="59" fillId="2" borderId="13" xfId="43" applyFont="1" applyFill="1" applyBorder="1" applyAlignment="1" applyProtection="1">
      <alignment/>
      <protection locked="0"/>
    </xf>
    <xf numFmtId="0" fontId="0" fillId="0" borderId="15" xfId="0" applyBorder="1" applyAlignment="1">
      <alignment/>
    </xf>
    <xf numFmtId="0" fontId="57" fillId="14" borderId="10" xfId="0" applyFont="1" applyFill="1" applyBorder="1" applyAlignment="1">
      <alignment/>
    </xf>
    <xf numFmtId="0" fontId="0" fillId="14" borderId="11" xfId="0" applyFill="1" applyBorder="1" applyAlignment="1">
      <alignment/>
    </xf>
    <xf numFmtId="0" fontId="0" fillId="14" borderId="12" xfId="0" applyFill="1" applyBorder="1" applyAlignment="1">
      <alignment/>
    </xf>
    <xf numFmtId="0" fontId="57" fillId="7" borderId="10" xfId="0" applyFont="1" applyFill="1" applyBorder="1" applyAlignment="1">
      <alignment/>
    </xf>
    <xf numFmtId="0" fontId="0" fillId="7" borderId="11" xfId="0" applyFill="1" applyBorder="1" applyAlignment="1">
      <alignment/>
    </xf>
    <xf numFmtId="0" fontId="0" fillId="7" borderId="12" xfId="0" applyFill="1" applyBorder="1" applyAlignment="1">
      <alignment/>
    </xf>
    <xf numFmtId="10" fontId="0" fillId="2" borderId="19" xfId="0" applyNumberFormat="1" applyFill="1" applyBorder="1" applyAlignment="1" applyProtection="1">
      <alignment horizontal="center"/>
      <protection locked="0"/>
    </xf>
    <xf numFmtId="10" fontId="0" fillId="0" borderId="19" xfId="57" applyNumberFormat="1" applyFont="1" applyBorder="1" applyAlignment="1" applyProtection="1">
      <alignment horizontal="center"/>
      <protection/>
    </xf>
    <xf numFmtId="0" fontId="0" fillId="0" borderId="19" xfId="0" applyBorder="1" applyAlignment="1">
      <alignment horizontal="center"/>
    </xf>
    <xf numFmtId="168" fontId="0" fillId="2" borderId="19" xfId="0" applyNumberFormat="1" applyFill="1" applyBorder="1" applyAlignment="1" applyProtection="1">
      <alignment horizontal="center"/>
      <protection locked="0"/>
    </xf>
    <xf numFmtId="168" fontId="0" fillId="2" borderId="20" xfId="0" applyNumberFormat="1" applyFill="1" applyBorder="1" applyAlignment="1" applyProtection="1">
      <alignment horizontal="center"/>
      <protection locked="0"/>
    </xf>
    <xf numFmtId="168" fontId="0" fillId="2" borderId="12" xfId="0" applyNumberFormat="1" applyFill="1" applyBorder="1" applyAlignment="1" applyProtection="1">
      <alignment horizontal="center"/>
      <protection locked="0"/>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9" fontId="0" fillId="0" borderId="22" xfId="0" applyNumberFormat="1" applyBorder="1" applyAlignment="1" applyProtection="1">
      <alignment horizontal="center"/>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65" fillId="0" borderId="0" xfId="0" applyFont="1" applyAlignment="1">
      <alignment/>
    </xf>
    <xf numFmtId="0" fontId="66" fillId="0" borderId="0" xfId="0" applyFont="1" applyAlignment="1">
      <alignment/>
    </xf>
    <xf numFmtId="0" fontId="60" fillId="18" borderId="0" xfId="0" applyFont="1" applyFill="1" applyAlignment="1">
      <alignment vertical="center"/>
    </xf>
    <xf numFmtId="0" fontId="0" fillId="18" borderId="0" xfId="0" applyFill="1" applyAlignment="1">
      <alignment/>
    </xf>
    <xf numFmtId="0" fontId="57" fillId="18" borderId="0" xfId="0" applyFont="1" applyFill="1" applyAlignment="1">
      <alignment horizontal="center" wrapText="1"/>
    </xf>
    <xf numFmtId="9" fontId="67" fillId="18" borderId="0" xfId="57" applyFont="1" applyFill="1" applyAlignment="1">
      <alignment/>
    </xf>
    <xf numFmtId="0" fontId="57" fillId="5" borderId="0" xfId="0" applyFont="1" applyFill="1" applyBorder="1" applyAlignment="1" applyProtection="1">
      <alignment/>
      <protection hidden="1"/>
    </xf>
    <xf numFmtId="0" fontId="0" fillId="5" borderId="0" xfId="0" applyFill="1" applyBorder="1" applyAlignment="1" applyProtection="1">
      <alignment/>
      <protection hidden="1"/>
    </xf>
    <xf numFmtId="168" fontId="57" fillId="5" borderId="0" xfId="57" applyNumberFormat="1" applyFont="1" applyFill="1" applyBorder="1" applyAlignment="1" applyProtection="1">
      <alignment horizontal="center"/>
      <protection hidden="1"/>
    </xf>
    <xf numFmtId="9" fontId="57" fillId="5" borderId="0" xfId="0" applyNumberFormat="1" applyFont="1" applyFill="1" applyBorder="1" applyAlignment="1" applyProtection="1">
      <alignment/>
      <protection hidden="1"/>
    </xf>
    <xf numFmtId="0" fontId="57" fillId="13" borderId="24" xfId="0" applyFont="1" applyFill="1" applyBorder="1" applyAlignment="1" applyProtection="1">
      <alignment/>
      <protection hidden="1"/>
    </xf>
    <xf numFmtId="169" fontId="57" fillId="13" borderId="24" xfId="0" applyNumberFormat="1" applyFont="1" applyFill="1" applyBorder="1" applyAlignment="1" applyProtection="1">
      <alignment/>
      <protection hidden="1"/>
    </xf>
    <xf numFmtId="0" fontId="0" fillId="0" borderId="0" xfId="0" applyBorder="1" applyAlignment="1" applyProtection="1">
      <alignment/>
      <protection hidden="1"/>
    </xf>
    <xf numFmtId="169" fontId="0" fillId="33" borderId="0" xfId="43" applyNumberFormat="1" applyFont="1" applyFill="1" applyBorder="1" applyAlignment="1" applyProtection="1">
      <alignment/>
      <protection hidden="1"/>
    </xf>
    <xf numFmtId="169" fontId="0" fillId="0" borderId="0" xfId="43" applyNumberFormat="1" applyFont="1" applyBorder="1" applyAlignment="1" applyProtection="1">
      <alignment/>
      <protection hidden="1"/>
    </xf>
    <xf numFmtId="169" fontId="0" fillId="13" borderId="24" xfId="0" applyNumberFormat="1" applyFont="1" applyFill="1" applyBorder="1" applyAlignment="1" applyProtection="1">
      <alignment/>
      <protection hidden="1"/>
    </xf>
    <xf numFmtId="0" fontId="57" fillId="13" borderId="0" xfId="0" applyFont="1" applyFill="1" applyBorder="1" applyAlignment="1" applyProtection="1">
      <alignment/>
      <protection hidden="1"/>
    </xf>
    <xf numFmtId="169" fontId="57" fillId="13" borderId="0" xfId="0" applyNumberFormat="1" applyFont="1" applyFill="1" applyBorder="1" applyAlignment="1" applyProtection="1">
      <alignment/>
      <protection hidden="1"/>
    </xf>
    <xf numFmtId="169" fontId="0" fillId="13" borderId="0" xfId="0" applyNumberFormat="1" applyFont="1" applyFill="1" applyBorder="1" applyAlignment="1" applyProtection="1">
      <alignment/>
      <protection hidden="1"/>
    </xf>
    <xf numFmtId="0" fontId="57" fillId="3" borderId="0" xfId="0" applyFont="1" applyFill="1" applyBorder="1" applyAlignment="1" applyProtection="1">
      <alignment/>
      <protection hidden="1"/>
    </xf>
    <xf numFmtId="0" fontId="0" fillId="3" borderId="0" xfId="0" applyFill="1" applyBorder="1" applyAlignment="1" applyProtection="1">
      <alignment/>
      <protection hidden="1"/>
    </xf>
    <xf numFmtId="168" fontId="57" fillId="3" borderId="0" xfId="57" applyNumberFormat="1" applyFont="1" applyFill="1" applyBorder="1" applyAlignment="1" applyProtection="1">
      <alignment horizontal="center"/>
      <protection hidden="1"/>
    </xf>
    <xf numFmtId="9" fontId="57" fillId="3" borderId="0" xfId="0" applyNumberFormat="1" applyFont="1" applyFill="1" applyBorder="1" applyAlignment="1" applyProtection="1">
      <alignment/>
      <protection hidden="1"/>
    </xf>
    <xf numFmtId="0" fontId="57" fillId="6" borderId="18" xfId="0" applyFont="1" applyFill="1" applyBorder="1" applyAlignment="1" applyProtection="1">
      <alignment/>
      <protection hidden="1"/>
    </xf>
    <xf numFmtId="168" fontId="57" fillId="6" borderId="18" xfId="57" applyNumberFormat="1" applyFont="1" applyFill="1" applyBorder="1" applyAlignment="1" applyProtection="1">
      <alignment horizontal="center"/>
      <protection hidden="1"/>
    </xf>
    <xf numFmtId="0" fontId="0" fillId="6" borderId="18" xfId="0" applyFill="1" applyBorder="1" applyAlignment="1" applyProtection="1">
      <alignment/>
      <protection hidden="1"/>
    </xf>
    <xf numFmtId="9" fontId="57" fillId="6" borderId="18" xfId="0" applyNumberFormat="1" applyFont="1" applyFill="1" applyBorder="1" applyAlignment="1" applyProtection="1">
      <alignment/>
      <protection hidden="1"/>
    </xf>
    <xf numFmtId="0" fontId="67" fillId="11" borderId="16" xfId="0" applyFont="1" applyFill="1" applyBorder="1" applyAlignment="1">
      <alignment/>
    </xf>
    <xf numFmtId="0" fontId="67" fillId="9" borderId="16" xfId="0" applyFont="1" applyFill="1" applyBorder="1" applyAlignment="1" applyProtection="1">
      <alignment/>
      <protection hidden="1"/>
    </xf>
    <xf numFmtId="0" fontId="67" fillId="13" borderId="16" xfId="0" applyFont="1" applyFill="1" applyBorder="1" applyAlignment="1" applyProtection="1">
      <alignment/>
      <protection hidden="1"/>
    </xf>
    <xf numFmtId="0" fontId="67" fillId="2" borderId="21" xfId="0" applyFont="1" applyFill="1" applyBorder="1" applyAlignment="1">
      <alignment horizontal="center"/>
    </xf>
    <xf numFmtId="0" fontId="0" fillId="0" borderId="12" xfId="0" applyBorder="1" applyAlignment="1" applyProtection="1">
      <alignment horizontal="center"/>
      <protection hidden="1"/>
    </xf>
    <xf numFmtId="9" fontId="0" fillId="0" borderId="19" xfId="0" applyNumberFormat="1" applyBorder="1" applyAlignment="1" applyProtection="1">
      <alignment horizontal="center"/>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168" fontId="0" fillId="2" borderId="0" xfId="0" applyNumberFormat="1" applyFill="1" applyBorder="1" applyAlignment="1" applyProtection="1">
      <alignment horizontal="center"/>
      <protection locked="0"/>
    </xf>
    <xf numFmtId="41" fontId="0" fillId="0" borderId="15" xfId="43" applyFont="1" applyFill="1" applyBorder="1" applyAlignment="1" applyProtection="1">
      <alignment/>
      <protection/>
    </xf>
    <xf numFmtId="10" fontId="0" fillId="0" borderId="20" xfId="57" applyNumberFormat="1" applyFont="1" applyBorder="1" applyAlignment="1" applyProtection="1">
      <alignment horizontal="center"/>
      <protection/>
    </xf>
    <xf numFmtId="166" fontId="59" fillId="2" borderId="20" xfId="43" applyNumberFormat="1" applyFont="1" applyFill="1" applyBorder="1" applyAlignment="1" applyProtection="1">
      <alignment/>
      <protection locked="0"/>
    </xf>
    <xf numFmtId="0" fontId="0" fillId="0" borderId="0" xfId="0" applyFill="1" applyBorder="1" applyAlignment="1">
      <alignment/>
    </xf>
    <xf numFmtId="0" fontId="0" fillId="0" borderId="14" xfId="0" applyFill="1" applyBorder="1" applyAlignment="1">
      <alignment/>
    </xf>
    <xf numFmtId="0" fontId="0" fillId="0" borderId="15" xfId="0" applyBorder="1" applyAlignment="1" applyProtection="1">
      <alignment/>
      <protection hidden="1"/>
    </xf>
    <xf numFmtId="10" fontId="0" fillId="0" borderId="19" xfId="0" applyNumberFormat="1" applyFill="1" applyBorder="1" applyAlignment="1" applyProtection="1">
      <alignment horizontal="center"/>
      <protection locked="0"/>
    </xf>
    <xf numFmtId="41" fontId="59" fillId="0" borderId="11" xfId="43" applyFont="1" applyFill="1" applyBorder="1" applyAlignment="1" applyProtection="1">
      <alignment/>
      <protection locked="0"/>
    </xf>
    <xf numFmtId="0" fontId="0" fillId="0" borderId="13" xfId="0" applyFill="1" applyBorder="1" applyAlignment="1">
      <alignment/>
    </xf>
    <xf numFmtId="167" fontId="59" fillId="0" borderId="15" xfId="43" applyNumberFormat="1" applyFont="1" applyFill="1" applyBorder="1" applyAlignment="1" applyProtection="1">
      <alignment/>
      <protection locked="0"/>
    </xf>
    <xf numFmtId="9" fontId="0" fillId="0" borderId="23" xfId="0" applyNumberFormat="1" applyBorder="1" applyAlignment="1" applyProtection="1">
      <alignment horizontal="center"/>
      <protection hidden="1"/>
    </xf>
    <xf numFmtId="10" fontId="0" fillId="0" borderId="11" xfId="57" applyNumberFormat="1" applyFont="1" applyBorder="1" applyAlignment="1" applyProtection="1">
      <alignment horizontal="center"/>
      <protection/>
    </xf>
    <xf numFmtId="0" fontId="0" fillId="0" borderId="21" xfId="0" applyBorder="1" applyAlignment="1" applyProtection="1">
      <alignment/>
      <protection hidden="1"/>
    </xf>
    <xf numFmtId="41" fontId="59" fillId="0" borderId="15" xfId="43" applyFont="1" applyFill="1" applyBorder="1" applyAlignment="1" applyProtection="1">
      <alignment/>
      <protection locked="0"/>
    </xf>
    <xf numFmtId="168" fontId="0" fillId="0" borderId="15" xfId="0" applyNumberFormat="1" applyFill="1" applyBorder="1" applyAlignment="1" applyProtection="1">
      <alignment horizontal="center"/>
      <protection locked="0"/>
    </xf>
    <xf numFmtId="41" fontId="0" fillId="34" borderId="0" xfId="43" applyFont="1" applyFill="1" applyAlignment="1" applyProtection="1">
      <alignment/>
      <protection hidden="1"/>
    </xf>
    <xf numFmtId="0" fontId="0" fillId="5" borderId="0" xfId="0" applyFill="1" applyAlignment="1">
      <alignment/>
    </xf>
    <xf numFmtId="41" fontId="0" fillId="5" borderId="0" xfId="0" applyNumberFormat="1" applyFill="1" applyAlignment="1" applyProtection="1">
      <alignment/>
      <protection hidden="1"/>
    </xf>
    <xf numFmtId="41" fontId="0" fillId="5" borderId="0" xfId="43" applyFont="1" applyFill="1" applyAlignment="1" applyProtection="1">
      <alignment/>
      <protection hidden="1"/>
    </xf>
    <xf numFmtId="0" fontId="0" fillId="5" borderId="13" xfId="0" applyFill="1" applyBorder="1" applyAlignment="1">
      <alignment/>
    </xf>
    <xf numFmtId="167" fontId="0" fillId="5" borderId="0" xfId="0" applyNumberFormat="1" applyFill="1" applyBorder="1" applyAlignment="1" applyProtection="1">
      <alignment/>
      <protection hidden="1"/>
    </xf>
    <xf numFmtId="41" fontId="0" fillId="5" borderId="0" xfId="0" applyNumberFormat="1" applyFill="1" applyBorder="1" applyAlignment="1" applyProtection="1">
      <alignment/>
      <protection hidden="1"/>
    </xf>
    <xf numFmtId="41" fontId="0" fillId="5" borderId="0" xfId="43" applyFont="1" applyFill="1" applyBorder="1" applyAlignment="1" applyProtection="1">
      <alignment/>
      <protection hidden="1"/>
    </xf>
    <xf numFmtId="167" fontId="0" fillId="5" borderId="0" xfId="43" applyNumberFormat="1" applyFont="1" applyFill="1" applyBorder="1" applyAlignment="1" applyProtection="1">
      <alignment/>
      <protection hidden="1"/>
    </xf>
    <xf numFmtId="167" fontId="0" fillId="5" borderId="19" xfId="43" applyNumberFormat="1" applyFont="1" applyFill="1" applyBorder="1" applyAlignment="1" applyProtection="1">
      <alignment/>
      <protection hidden="1"/>
    </xf>
    <xf numFmtId="41" fontId="0" fillId="5" borderId="19" xfId="43" applyFont="1" applyFill="1" applyBorder="1" applyAlignment="1" applyProtection="1">
      <alignment/>
      <protection hidden="1"/>
    </xf>
    <xf numFmtId="0" fontId="0" fillId="5" borderId="14" xfId="0" applyFill="1" applyBorder="1" applyAlignment="1">
      <alignment/>
    </xf>
    <xf numFmtId="41" fontId="0" fillId="5" borderId="15" xfId="0" applyNumberFormat="1" applyFill="1" applyBorder="1" applyAlignment="1">
      <alignment/>
    </xf>
    <xf numFmtId="41" fontId="0" fillId="5" borderId="15" xfId="43" applyFont="1" applyFill="1" applyBorder="1" applyAlignment="1" applyProtection="1">
      <alignment/>
      <protection hidden="1"/>
    </xf>
    <xf numFmtId="41" fontId="0" fillId="5" borderId="20" xfId="43" applyFont="1" applyFill="1" applyBorder="1" applyAlignment="1" applyProtection="1">
      <alignment/>
      <protection hidden="1"/>
    </xf>
    <xf numFmtId="0" fontId="57" fillId="5" borderId="25" xfId="0" applyFont="1" applyFill="1" applyBorder="1" applyAlignment="1" applyProtection="1">
      <alignment horizontal="center"/>
      <protection hidden="1"/>
    </xf>
    <xf numFmtId="0" fontId="57" fillId="5" borderId="26" xfId="0" applyFont="1" applyFill="1" applyBorder="1" applyAlignment="1" applyProtection="1">
      <alignment horizontal="center"/>
      <protection hidden="1"/>
    </xf>
    <xf numFmtId="0" fontId="57" fillId="5" borderId="27" xfId="0" applyFont="1" applyFill="1" applyBorder="1" applyAlignment="1">
      <alignment/>
    </xf>
    <xf numFmtId="0" fontId="65" fillId="0" borderId="18" xfId="0" applyFont="1" applyFill="1" applyBorder="1" applyAlignment="1" applyProtection="1">
      <alignment/>
      <protection hidden="1"/>
    </xf>
    <xf numFmtId="41" fontId="65" fillId="0" borderId="18" xfId="0" applyNumberFormat="1" applyFont="1" applyFill="1" applyBorder="1" applyAlignment="1" applyProtection="1">
      <alignment/>
      <protection hidden="1"/>
    </xf>
    <xf numFmtId="168" fontId="65" fillId="0" borderId="18" xfId="57" applyNumberFormat="1" applyFont="1" applyFill="1" applyBorder="1" applyAlignment="1" applyProtection="1">
      <alignment horizontal="center"/>
      <protection hidden="1"/>
    </xf>
    <xf numFmtId="0" fontId="68" fillId="0" borderId="0" xfId="0" applyFont="1" applyAlignment="1" applyProtection="1">
      <alignment/>
      <protection hidden="1"/>
    </xf>
    <xf numFmtId="9" fontId="68" fillId="0" borderId="0" xfId="0" applyNumberFormat="1" applyFont="1" applyAlignment="1" applyProtection="1">
      <alignment/>
      <protection hidden="1"/>
    </xf>
    <xf numFmtId="0" fontId="0" fillId="0" borderId="10" xfId="0" applyBorder="1" applyAlignment="1" applyProtection="1">
      <alignment/>
      <protection hidden="1"/>
    </xf>
    <xf numFmtId="164" fontId="57" fillId="0" borderId="11" xfId="43" applyNumberFormat="1" applyFont="1" applyBorder="1" applyAlignment="1" applyProtection="1">
      <alignment/>
      <protection hidden="1"/>
    </xf>
    <xf numFmtId="164" fontId="57" fillId="0" borderId="12" xfId="43" applyNumberFormat="1" applyFont="1" applyBorder="1" applyAlignment="1" applyProtection="1">
      <alignment/>
      <protection hidden="1"/>
    </xf>
    <xf numFmtId="0" fontId="0" fillId="0" borderId="13" xfId="0" applyBorder="1" applyAlignment="1" applyProtection="1">
      <alignment/>
      <protection hidden="1"/>
    </xf>
    <xf numFmtId="0" fontId="57" fillId="0" borderId="0" xfId="0" applyFont="1" applyBorder="1" applyAlignment="1" applyProtection="1">
      <alignment/>
      <protection hidden="1"/>
    </xf>
    <xf numFmtId="0" fontId="57" fillId="0" borderId="19" xfId="0" applyFont="1" applyBorder="1" applyAlignment="1" applyProtection="1">
      <alignment/>
      <protection hidden="1"/>
    </xf>
    <xf numFmtId="165" fontId="0" fillId="0" borderId="0" xfId="0" applyNumberFormat="1" applyBorder="1" applyAlignment="1" applyProtection="1">
      <alignment/>
      <protection hidden="1"/>
    </xf>
    <xf numFmtId="165" fontId="0" fillId="0" borderId="19" xfId="0" applyNumberFormat="1" applyBorder="1" applyAlignment="1" applyProtection="1">
      <alignment/>
      <protection hidden="1"/>
    </xf>
    <xf numFmtId="0" fontId="0" fillId="0" borderId="14" xfId="0" applyBorder="1" applyAlignment="1" applyProtection="1">
      <alignment/>
      <protection hidden="1"/>
    </xf>
    <xf numFmtId="0" fontId="57" fillId="0" borderId="15" xfId="0" applyFont="1" applyBorder="1" applyAlignment="1" applyProtection="1">
      <alignment/>
      <protection hidden="1"/>
    </xf>
    <xf numFmtId="0" fontId="57" fillId="0" borderId="20" xfId="0" applyFont="1" applyBorder="1" applyAlignment="1" applyProtection="1">
      <alignment/>
      <protection hidden="1"/>
    </xf>
    <xf numFmtId="0" fontId="57" fillId="0" borderId="10" xfId="0" applyFont="1" applyBorder="1" applyAlignment="1" applyProtection="1">
      <alignment/>
      <protection hidden="1"/>
    </xf>
    <xf numFmtId="41" fontId="0" fillId="0" borderId="0" xfId="43" applyFont="1" applyBorder="1" applyAlignment="1">
      <alignment/>
    </xf>
    <xf numFmtId="41" fontId="0" fillId="0" borderId="19" xfId="43" applyFont="1" applyBorder="1" applyAlignment="1">
      <alignment/>
    </xf>
    <xf numFmtId="41" fontId="0" fillId="0" borderId="0" xfId="0" applyNumberFormat="1" applyBorder="1" applyAlignment="1">
      <alignment/>
    </xf>
    <xf numFmtId="41" fontId="0" fillId="0" borderId="15" xfId="0" applyNumberFormat="1" applyBorder="1" applyAlignment="1">
      <alignment/>
    </xf>
    <xf numFmtId="41" fontId="0" fillId="0" borderId="15" xfId="43" applyFont="1" applyBorder="1" applyAlignment="1">
      <alignment/>
    </xf>
    <xf numFmtId="41" fontId="0" fillId="0" borderId="20" xfId="43" applyFont="1" applyBorder="1" applyAlignment="1">
      <alignment/>
    </xf>
    <xf numFmtId="0" fontId="0" fillId="0" borderId="14" xfId="0" applyFont="1" applyBorder="1" applyAlignment="1" applyProtection="1">
      <alignment/>
      <protection hidden="1"/>
    </xf>
    <xf numFmtId="3" fontId="0" fillId="0" borderId="15" xfId="0" applyNumberFormat="1" applyFont="1" applyBorder="1" applyAlignment="1">
      <alignment/>
    </xf>
    <xf numFmtId="3" fontId="0" fillId="0" borderId="15" xfId="43" applyNumberFormat="1" applyFont="1" applyBorder="1" applyAlignment="1">
      <alignment/>
    </xf>
    <xf numFmtId="3" fontId="0" fillId="0" borderId="20" xfId="43" applyNumberFormat="1" applyFont="1" applyBorder="1" applyAlignment="1">
      <alignment/>
    </xf>
    <xf numFmtId="0" fontId="0" fillId="7" borderId="13" xfId="0" applyFont="1" applyFill="1" applyBorder="1" applyAlignment="1" applyProtection="1">
      <alignment/>
      <protection hidden="1"/>
    </xf>
    <xf numFmtId="0" fontId="0" fillId="7" borderId="0" xfId="0" applyFont="1" applyFill="1" applyBorder="1" applyAlignment="1">
      <alignment/>
    </xf>
    <xf numFmtId="2" fontId="0" fillId="7" borderId="0" xfId="0" applyNumberFormat="1" applyFont="1" applyFill="1" applyBorder="1" applyAlignment="1">
      <alignment/>
    </xf>
    <xf numFmtId="2" fontId="0" fillId="7" borderId="19" xfId="0" applyNumberFormat="1" applyFont="1" applyFill="1" applyBorder="1" applyAlignment="1">
      <alignment/>
    </xf>
    <xf numFmtId="3" fontId="0" fillId="0" borderId="15" xfId="0" applyNumberFormat="1" applyBorder="1" applyAlignment="1">
      <alignment/>
    </xf>
    <xf numFmtId="3" fontId="0" fillId="0" borderId="15" xfId="43" applyNumberFormat="1" applyFont="1" applyBorder="1" applyAlignment="1">
      <alignment/>
    </xf>
    <xf numFmtId="3" fontId="0" fillId="0" borderId="20" xfId="43" applyNumberFormat="1" applyFont="1" applyBorder="1" applyAlignment="1">
      <alignment/>
    </xf>
    <xf numFmtId="0" fontId="0" fillId="7" borderId="13" xfId="0" applyFill="1" applyBorder="1" applyAlignment="1" applyProtection="1">
      <alignment/>
      <protection hidden="1"/>
    </xf>
    <xf numFmtId="3" fontId="0" fillId="7" borderId="0" xfId="0" applyNumberFormat="1" applyFill="1" applyBorder="1" applyAlignment="1">
      <alignment/>
    </xf>
    <xf numFmtId="3" fontId="0" fillId="7" borderId="19" xfId="0" applyNumberFormat="1" applyFill="1" applyBorder="1" applyAlignment="1">
      <alignment/>
    </xf>
    <xf numFmtId="0" fontId="57" fillId="7" borderId="10" xfId="0" applyFont="1" applyFill="1" applyBorder="1" applyAlignment="1" applyProtection="1">
      <alignment/>
      <protection hidden="1"/>
    </xf>
    <xf numFmtId="0" fontId="0" fillId="7" borderId="11" xfId="0" applyFont="1" applyFill="1" applyBorder="1" applyAlignment="1">
      <alignment/>
    </xf>
    <xf numFmtId="0" fontId="0" fillId="7" borderId="12" xfId="0" applyFont="1" applyFill="1" applyBorder="1" applyAlignment="1">
      <alignment/>
    </xf>
    <xf numFmtId="0" fontId="0" fillId="7" borderId="13" xfId="0" applyFont="1" applyFill="1" applyBorder="1" applyAlignment="1">
      <alignment/>
    </xf>
    <xf numFmtId="0" fontId="0" fillId="7" borderId="19" xfId="0" applyFont="1" applyFill="1" applyBorder="1" applyAlignment="1">
      <alignment/>
    </xf>
    <xf numFmtId="9" fontId="0" fillId="2" borderId="14" xfId="57" applyFont="1" applyFill="1" applyBorder="1" applyAlignment="1" applyProtection="1">
      <alignment horizontal="center"/>
      <protection locked="0"/>
    </xf>
    <xf numFmtId="0" fontId="0" fillId="0" borderId="13" xfId="0" applyBorder="1" applyAlignment="1">
      <alignment wrapText="1"/>
    </xf>
    <xf numFmtId="0" fontId="60" fillId="12" borderId="0" xfId="0" applyFont="1" applyFill="1" applyAlignment="1" applyProtection="1">
      <alignment vertical="center"/>
      <protection hidden="1"/>
    </xf>
    <xf numFmtId="0" fontId="0" fillId="12" borderId="0" xfId="0" applyFill="1" applyAlignment="1" applyProtection="1">
      <alignment/>
      <protection hidden="1"/>
    </xf>
    <xf numFmtId="0" fontId="57" fillId="12" borderId="0" xfId="0" applyFont="1" applyFill="1" applyAlignment="1" applyProtection="1">
      <alignment horizontal="center" wrapText="1"/>
      <protection hidden="1"/>
    </xf>
    <xf numFmtId="0" fontId="57" fillId="12" borderId="0" xfId="0" applyFont="1" applyFill="1" applyAlignment="1" applyProtection="1">
      <alignment/>
      <protection hidden="1"/>
    </xf>
    <xf numFmtId="0" fontId="57" fillId="12" borderId="0" xfId="0" applyFont="1" applyFill="1" applyAlignment="1" applyProtection="1">
      <alignment horizontal="right"/>
      <protection hidden="1"/>
    </xf>
    <xf numFmtId="0" fontId="0" fillId="18" borderId="0" xfId="0" applyFill="1" applyAlignment="1" applyProtection="1">
      <alignment/>
      <protection hidden="1"/>
    </xf>
    <xf numFmtId="0" fontId="57" fillId="18" borderId="0" xfId="0" applyFont="1" applyFill="1" applyAlignment="1" applyProtection="1">
      <alignment horizontal="center" wrapText="1"/>
      <protection hidden="1"/>
    </xf>
    <xf numFmtId="0" fontId="67" fillId="11" borderId="16" xfId="0" applyFont="1" applyFill="1" applyBorder="1" applyAlignment="1" applyProtection="1">
      <alignment/>
      <protection hidden="1"/>
    </xf>
    <xf numFmtId="0" fontId="0" fillId="11" borderId="16" xfId="0" applyFill="1" applyBorder="1" applyAlignment="1" applyProtection="1">
      <alignment/>
      <protection hidden="1"/>
    </xf>
    <xf numFmtId="0" fontId="57" fillId="11" borderId="16" xfId="0" applyFont="1" applyFill="1" applyBorder="1" applyAlignment="1" applyProtection="1">
      <alignment/>
      <protection hidden="1"/>
    </xf>
    <xf numFmtId="5" fontId="0" fillId="0" borderId="0" xfId="0" applyNumberFormat="1" applyAlignment="1" applyProtection="1">
      <alignment/>
      <protection hidden="1"/>
    </xf>
    <xf numFmtId="5" fontId="0" fillId="0" borderId="0" xfId="43" applyNumberFormat="1" applyFont="1" applyAlignment="1" applyProtection="1">
      <alignment/>
      <protection hidden="1"/>
    </xf>
    <xf numFmtId="0" fontId="63" fillId="0" borderId="0" xfId="0" applyFont="1" applyAlignment="1" applyProtection="1">
      <alignment/>
      <protection hidden="1"/>
    </xf>
    <xf numFmtId="9" fontId="69" fillId="18" borderId="0" xfId="57" applyFont="1" applyFill="1" applyAlignment="1" applyProtection="1">
      <alignment/>
      <protection hidden="1"/>
    </xf>
    <xf numFmtId="0" fontId="66" fillId="18" borderId="0" xfId="0" applyFont="1" applyFill="1" applyAlignment="1" applyProtection="1">
      <alignment vertical="center"/>
      <protection hidden="1"/>
    </xf>
    <xf numFmtId="0" fontId="70" fillId="0" borderId="0" xfId="0" applyFont="1" applyAlignment="1">
      <alignment/>
    </xf>
    <xf numFmtId="10" fontId="0" fillId="0" borderId="0" xfId="57" applyNumberFormat="1" applyFont="1" applyAlignment="1">
      <alignment/>
    </xf>
    <xf numFmtId="10" fontId="0" fillId="2" borderId="28" xfId="57" applyNumberFormat="1" applyFont="1" applyFill="1" applyBorder="1" applyAlignment="1" applyProtection="1">
      <alignment horizontal="center"/>
      <protection locked="0"/>
    </xf>
    <xf numFmtId="170" fontId="0" fillId="0" borderId="0" xfId="0" applyNumberFormat="1" applyAlignment="1">
      <alignment/>
    </xf>
    <xf numFmtId="0" fontId="0" fillId="5" borderId="0" xfId="0" applyFill="1" applyAlignment="1" applyProtection="1">
      <alignment/>
      <protection hidden="1"/>
    </xf>
    <xf numFmtId="41" fontId="57" fillId="0" borderId="11" xfId="43" applyFont="1" applyFill="1" applyBorder="1" applyAlignment="1" applyProtection="1">
      <alignment horizontal="center"/>
      <protection/>
    </xf>
    <xf numFmtId="41" fontId="57" fillId="0" borderId="12" xfId="43" applyFont="1" applyFill="1" applyBorder="1" applyAlignment="1" applyProtection="1">
      <alignment horizontal="center"/>
      <protection/>
    </xf>
    <xf numFmtId="41" fontId="57" fillId="0" borderId="15" xfId="43" applyFont="1" applyFill="1" applyBorder="1" applyAlignment="1" applyProtection="1">
      <alignment horizontal="center"/>
      <protection/>
    </xf>
    <xf numFmtId="41" fontId="57" fillId="0" borderId="20" xfId="43" applyFont="1" applyFill="1" applyBorder="1" applyAlignment="1" applyProtection="1">
      <alignment horizontal="center"/>
      <protection/>
    </xf>
    <xf numFmtId="0" fontId="57" fillId="14" borderId="25" xfId="0" applyFont="1" applyFill="1" applyBorder="1" applyAlignment="1">
      <alignment horizontal="center"/>
    </xf>
    <xf numFmtId="0" fontId="57" fillId="14" borderId="2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sauðfjárbú</a:t>
            </a:r>
          </a:p>
        </c:rich>
      </c:tx>
      <c:layout>
        <c:manualLayout>
          <c:xMode val="factor"/>
          <c:yMode val="factor"/>
          <c:x val="-0.002"/>
          <c:y val="-0.01125"/>
        </c:manualLayout>
      </c:layout>
      <c:spPr>
        <a:noFill/>
        <a:ln w="3175">
          <a:noFill/>
        </a:ln>
      </c:spPr>
    </c:title>
    <c:plotArea>
      <c:layout>
        <c:manualLayout>
          <c:xMode val="edge"/>
          <c:yMode val="edge"/>
          <c:x val="0.003"/>
          <c:y val="0.094"/>
          <c:w val="0.9735"/>
          <c:h val="0.76825"/>
        </c:manualLayout>
      </c:layout>
      <c:barChart>
        <c:barDir val="col"/>
        <c:grouping val="stacked"/>
        <c:varyColors val="0"/>
        <c:ser>
          <c:idx val="0"/>
          <c:order val="0"/>
          <c:tx>
            <c:strRef>
              <c:f>'Blandað bú'!$C$91</c:f>
              <c:strCache>
                <c:ptCount val="1"/>
                <c:pt idx="0">
                  <c:v>Samtals sauðfjársamningur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bú'!$D$91:$N$91</c:f>
              <c:numCache/>
            </c:numRef>
          </c:val>
        </c:ser>
        <c:ser>
          <c:idx val="1"/>
          <c:order val="1"/>
          <c:tx>
            <c:strRef>
              <c:f>'Blandað bú'!$C$92</c:f>
              <c:strCache>
                <c:ptCount val="1"/>
                <c:pt idx="0">
                  <c:v>Hlutfall  greiðslna skv. rammasamningi</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bú'!$D$92:$N$92</c:f>
              <c:numCache/>
            </c:numRef>
          </c:val>
        </c:ser>
        <c:ser>
          <c:idx val="2"/>
          <c:order val="2"/>
          <c:tx>
            <c:strRef>
              <c:f>'Blandað bú'!$C$93</c:f>
              <c:strCache>
                <c:ptCount val="1"/>
                <c:pt idx="0">
                  <c:v>Samtals búgreinatekjur sauðfjár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bú'!$D$93:$N$93</c:f>
              <c:numCache/>
            </c:numRef>
          </c:val>
        </c:ser>
        <c:overlap val="100"/>
        <c:axId val="64037152"/>
        <c:axId val="39463457"/>
      </c:barChart>
      <c:catAx>
        <c:axId val="640371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463457"/>
        <c:crosses val="autoZero"/>
        <c:auto val="1"/>
        <c:lblOffset val="100"/>
        <c:tickLblSkip val="1"/>
        <c:noMultiLvlLbl val="0"/>
      </c:catAx>
      <c:valAx>
        <c:axId val="394634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4037152"/>
        <c:crossesAt val="1"/>
        <c:crossBetween val="between"/>
        <c:dispUnits/>
      </c:valAx>
      <c:spPr>
        <a:noFill/>
        <a:ln>
          <a:noFill/>
        </a:ln>
      </c:spPr>
    </c:plotArea>
    <c:legend>
      <c:legendPos val="b"/>
      <c:layout>
        <c:manualLayout>
          <c:xMode val="edge"/>
          <c:yMode val="edge"/>
          <c:x val="0.0975"/>
          <c:y val="0.86475"/>
          <c:w val="0.80125"/>
          <c:h val="0.121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nautgriparæktarbú</a:t>
            </a:r>
          </a:p>
        </c:rich>
      </c:tx>
      <c:layout>
        <c:manualLayout>
          <c:xMode val="factor"/>
          <c:yMode val="factor"/>
          <c:x val="0.09675"/>
          <c:y val="-0.0055"/>
        </c:manualLayout>
      </c:layout>
      <c:spPr>
        <a:noFill/>
        <a:ln w="3175">
          <a:noFill/>
        </a:ln>
      </c:spPr>
    </c:title>
    <c:plotArea>
      <c:layout>
        <c:manualLayout>
          <c:xMode val="edge"/>
          <c:yMode val="edge"/>
          <c:x val="0.00325"/>
          <c:y val="0.09375"/>
          <c:w val="0.97325"/>
          <c:h val="0.76925"/>
        </c:manualLayout>
      </c:layout>
      <c:barChart>
        <c:barDir val="col"/>
        <c:grouping val="stacked"/>
        <c:varyColors val="0"/>
        <c:ser>
          <c:idx val="0"/>
          <c:order val="0"/>
          <c:tx>
            <c:strRef>
              <c:f>'Blandað bú'!$C$96</c:f>
              <c:strCache>
                <c:ptCount val="1"/>
                <c:pt idx="0">
                  <c:v>Samtals nautgriparæktarsamningur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bú'!$D$96:$N$96</c:f>
              <c:numCache/>
            </c:numRef>
          </c:val>
        </c:ser>
        <c:ser>
          <c:idx val="1"/>
          <c:order val="1"/>
          <c:tx>
            <c:strRef>
              <c:f>'Blandað bú'!$C$97</c:f>
              <c:strCache>
                <c:ptCount val="1"/>
                <c:pt idx="0">
                  <c:v>Hlutfall greiðslna skv. rammasamningi</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bú'!$D$97:$N$97</c:f>
              <c:numCache/>
            </c:numRef>
          </c:val>
        </c:ser>
        <c:ser>
          <c:idx val="2"/>
          <c:order val="2"/>
          <c:tx>
            <c:strRef>
              <c:f>'Blandað bú'!$C$98</c:f>
              <c:strCache>
                <c:ptCount val="1"/>
                <c:pt idx="0">
                  <c:v>Samtals búgreinatekjur nautgriparæktar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bú'!$D$98:$N$98</c:f>
              <c:numCache/>
            </c:numRef>
          </c:val>
        </c:ser>
        <c:overlap val="100"/>
        <c:axId val="19626794"/>
        <c:axId val="42423419"/>
      </c:barChart>
      <c:catAx>
        <c:axId val="196267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423419"/>
        <c:crosses val="autoZero"/>
        <c:auto val="1"/>
        <c:lblOffset val="100"/>
        <c:tickLblSkip val="1"/>
        <c:noMultiLvlLbl val="0"/>
      </c:catAx>
      <c:valAx>
        <c:axId val="424234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626794"/>
        <c:crossesAt val="1"/>
        <c:crossBetween val="between"/>
        <c:dispUnits/>
      </c:valAx>
      <c:spPr>
        <a:noFill/>
        <a:ln>
          <a:noFill/>
        </a:ln>
      </c:spPr>
    </c:plotArea>
    <c:legend>
      <c:legendPos val="b"/>
      <c:layout>
        <c:manualLayout>
          <c:xMode val="edge"/>
          <c:yMode val="edge"/>
          <c:x val="0.08675"/>
          <c:y val="0.8655"/>
          <c:w val="0.8225"/>
          <c:h val="0.120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blandaða bú</a:t>
            </a:r>
          </a:p>
        </c:rich>
      </c:tx>
      <c:layout>
        <c:manualLayout>
          <c:xMode val="factor"/>
          <c:yMode val="factor"/>
          <c:x val="-0.002"/>
          <c:y val="-0.01125"/>
        </c:manualLayout>
      </c:layout>
      <c:spPr>
        <a:noFill/>
        <a:ln w="3175">
          <a:noFill/>
        </a:ln>
      </c:spPr>
    </c:title>
    <c:plotArea>
      <c:layout>
        <c:manualLayout>
          <c:xMode val="edge"/>
          <c:yMode val="edge"/>
          <c:x val="0.00325"/>
          <c:y val="0.09325"/>
          <c:w val="0.972"/>
          <c:h val="0.828"/>
        </c:manualLayout>
      </c:layout>
      <c:barChart>
        <c:barDir val="col"/>
        <c:grouping val="stacked"/>
        <c:varyColors val="0"/>
        <c:ser>
          <c:idx val="0"/>
          <c:order val="0"/>
          <c:tx>
            <c:strRef>
              <c:f>'Blandað bú'!$C$101</c:f>
              <c:strCache>
                <c:ptCount val="1"/>
                <c:pt idx="0">
                  <c:v>Heildargreiðslur skv. samningi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numRef>
          </c:cat>
          <c:val>
            <c:numRef>
              <c:f>'Blandað bú'!$D$101:$N$101</c:f>
              <c:numCache/>
            </c:numRef>
          </c:val>
        </c:ser>
        <c:ser>
          <c:idx val="1"/>
          <c:order val="1"/>
          <c:tx>
            <c:strRef>
              <c:f>'Blandað bú'!$C$102</c:f>
              <c:strCache>
                <c:ptCount val="1"/>
                <c:pt idx="0">
                  <c:v>Búgreinatekjur</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numRef>
          </c:cat>
          <c:val>
            <c:numRef>
              <c:f>'Blandað bú'!$D$102:$N$102</c:f>
              <c:numCache/>
            </c:numRef>
          </c:val>
        </c:ser>
        <c:overlap val="100"/>
        <c:axId val="46266452"/>
        <c:axId val="13744885"/>
      </c:barChart>
      <c:catAx>
        <c:axId val="462664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744885"/>
        <c:crosses val="autoZero"/>
        <c:auto val="1"/>
        <c:lblOffset val="100"/>
        <c:tickLblSkip val="1"/>
        <c:noMultiLvlLbl val="0"/>
      </c:catAx>
      <c:valAx>
        <c:axId val="137448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266452"/>
        <c:crossesAt val="1"/>
        <c:crossBetween val="between"/>
        <c:dispUnits/>
      </c:valAx>
      <c:spPr>
        <a:noFill/>
        <a:ln>
          <a:noFill/>
        </a:ln>
      </c:spPr>
    </c:plotArea>
    <c:legend>
      <c:legendPos val="b"/>
      <c:layout>
        <c:manualLayout>
          <c:xMode val="edge"/>
          <c:yMode val="edge"/>
          <c:x val="0.18825"/>
          <c:y val="0.9245"/>
          <c:w val="0.6195"/>
          <c:h val="0.058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Garðyrkjubú</a:t>
            </a:r>
          </a:p>
        </c:rich>
      </c:tx>
      <c:layout>
        <c:manualLayout>
          <c:xMode val="factor"/>
          <c:yMode val="factor"/>
          <c:x val="-0.00225"/>
          <c:y val="-0.01125"/>
        </c:manualLayout>
      </c:layout>
      <c:spPr>
        <a:noFill/>
        <a:ln w="3175">
          <a:noFill/>
        </a:ln>
      </c:spPr>
    </c:title>
    <c:plotArea>
      <c:layout>
        <c:manualLayout>
          <c:xMode val="edge"/>
          <c:yMode val="edge"/>
          <c:x val="0.00325"/>
          <c:y val="0.09325"/>
          <c:w val="0.9715"/>
          <c:h val="0.828"/>
        </c:manualLayout>
      </c:layout>
      <c:barChart>
        <c:barDir val="col"/>
        <c:grouping val="stacked"/>
        <c:varyColors val="0"/>
        <c:ser>
          <c:idx val="0"/>
          <c:order val="0"/>
          <c:tx>
            <c:strRef>
              <c:f>'Blandað bú'!$C$101</c:f>
              <c:strCache>
                <c:ptCount val="1"/>
                <c:pt idx="0">
                  <c:v>Heildargreiðslur skv. samningi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'Blandað bú'!$D$101:$N$101</c:f>
              <c:numCache>
                <c:ptCount val="11"/>
                <c:pt idx="0">
                  <c:v>21592013.916077517</c:v>
                </c:pt>
                <c:pt idx="1">
                  <c:v>21791482.713593904</c:v>
                </c:pt>
                <c:pt idx="2">
                  <c:v>21720146.04955751</c:v>
                </c:pt>
                <c:pt idx="3">
                  <c:v>21705926.66343401</c:v>
                </c:pt>
                <c:pt idx="4">
                  <c:v>21445423.67600981</c:v>
                </c:pt>
                <c:pt idx="5">
                  <c:v>21398914.079532005</c:v>
                </c:pt>
                <c:pt idx="6">
                  <c:v>21246919.80315875</c:v>
                </c:pt>
                <c:pt idx="7">
                  <c:v>21018212.769830756</c:v>
                </c:pt>
                <c:pt idx="8">
                  <c:v>20797884.830961317</c:v>
                </c:pt>
                <c:pt idx="9">
                  <c:v>20561806.660653416</c:v>
                </c:pt>
                <c:pt idx="10">
                  <c:v>20240940.07020233</c:v>
                </c:pt>
              </c:numCache>
            </c:numRef>
          </c:val>
        </c:ser>
        <c:overlap val="100"/>
        <c:axId val="56595102"/>
        <c:axId val="39593871"/>
      </c:barChart>
      <c:catAx>
        <c:axId val="565951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593871"/>
        <c:crosses val="autoZero"/>
        <c:auto val="1"/>
        <c:lblOffset val="100"/>
        <c:tickLblSkip val="1"/>
        <c:noMultiLvlLbl val="0"/>
      </c:catAx>
      <c:valAx>
        <c:axId val="395938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595102"/>
        <c:crossesAt val="1"/>
        <c:crossBetween val="between"/>
        <c:dispUnits/>
      </c:valAx>
      <c:spPr>
        <a:noFill/>
        <a:ln>
          <a:noFill/>
        </a:ln>
      </c:spPr>
    </c:plotArea>
    <c:legend>
      <c:legendPos val="b"/>
      <c:layout>
        <c:manualLayout>
          <c:xMode val="edge"/>
          <c:yMode val="edge"/>
          <c:x val="0.294"/>
          <c:y val="0.9245"/>
          <c:w val="0.40975"/>
          <c:h val="0.058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12</xdr:col>
      <xdr:colOff>9525</xdr:colOff>
      <xdr:row>1</xdr:row>
      <xdr:rowOff>504825</xdr:rowOff>
    </xdr:to>
    <xdr:sp>
      <xdr:nvSpPr>
        <xdr:cNvPr id="1" name="TextBox 1"/>
        <xdr:cNvSpPr txBox="1">
          <a:spLocks noChangeArrowheads="1"/>
        </xdr:cNvSpPr>
      </xdr:nvSpPr>
      <xdr:spPr>
        <a:xfrm>
          <a:off x="95250" y="561975"/>
          <a:ext cx="1256347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Líkan þetta er unnið af Jóhönnu Lind ábyrgðarmanni rekstrarráðgjafar hjá</a:t>
          </a:r>
          <a:r>
            <a:rPr lang="en-US" cap="none" sz="1100" b="0" i="0" u="none" baseline="0">
              <a:solidFill>
                <a:srgbClr val="000000"/>
              </a:solidFill>
              <a:latin typeface="Calibri"/>
              <a:ea typeface="Calibri"/>
              <a:cs typeface="Calibri"/>
            </a:rPr>
            <a:t> Ráðgjafarmiðstöð landbúnaðarins. Fyrirvari er um innsláttarvillur og almennar forsendur framleiðslumagns, bústofns og landstærðar. Líkanið verður uppfært eftir því sem upplýsingar um framkvæmd og viðmiðanir liggja fyrir.  Útgefið þann 4. mars 2016</a:t>
          </a:r>
        </a:p>
      </xdr:txBody>
    </xdr:sp>
    <xdr:clientData/>
  </xdr:twoCellAnchor>
  <xdr:twoCellAnchor>
    <xdr:from>
      <xdr:col>5</xdr:col>
      <xdr:colOff>104775</xdr:colOff>
      <xdr:row>1</xdr:row>
      <xdr:rowOff>828675</xdr:rowOff>
    </xdr:from>
    <xdr:to>
      <xdr:col>13</xdr:col>
      <xdr:colOff>828675</xdr:colOff>
      <xdr:row>18</xdr:row>
      <xdr:rowOff>38100</xdr:rowOff>
    </xdr:to>
    <xdr:sp>
      <xdr:nvSpPr>
        <xdr:cNvPr id="2" name="TextBox 2"/>
        <xdr:cNvSpPr txBox="1">
          <a:spLocks noChangeArrowheads="1"/>
        </xdr:cNvSpPr>
      </xdr:nvSpPr>
      <xdr:spPr>
        <a:xfrm>
          <a:off x="5619750" y="1362075"/>
          <a:ext cx="8877300" cy="477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FF0000"/>
              </a:solidFill>
              <a:latin typeface="Calibri"/>
              <a:ea typeface="Calibri"/>
              <a:cs typeface="Calibri"/>
            </a:rPr>
            <a:t>Forsendur og breytingar í útgáfu 3</a:t>
          </a:r>
          <a:r>
            <a:rPr lang="en-US" cap="none" sz="1050" b="0" i="0" u="none" baseline="0">
              <a:solidFill>
                <a:srgbClr val="FF0000"/>
              </a:solidFill>
              <a:latin typeface="Calibri"/>
              <a:ea typeface="Calibri"/>
              <a:cs typeface="Calibri"/>
            </a:rPr>
            <a:t>
</a:t>
          </a:r>
          <a:r>
            <a:rPr lang="en-US" cap="none" sz="1000" b="1" i="0" u="none" baseline="0">
              <a:solidFill>
                <a:srgbClr val="000000"/>
              </a:solidFill>
              <a:latin typeface="Calibri"/>
              <a:ea typeface="Calibri"/>
              <a:cs typeface="Calibri"/>
            </a:rPr>
            <a:t>Greiðslur vegna rammasamnings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Ræktað land til uppskeru skv. grein 5.2 sem skráð verði í jörð.is um 100.000 ha. Jarðræktarstyrkir skv. grein 5.1 um 14.000 ha.
</a:t>
          </a:r>
          <a:r>
            <a:rPr lang="en-US" cap="none" sz="1000" b="0" i="0" u="none" baseline="0">
              <a:solidFill>
                <a:srgbClr val="000000"/>
              </a:solidFill>
              <a:latin typeface="Calibri"/>
              <a:ea typeface="Calibri"/>
              <a:cs typeface="Calibri"/>
            </a:rPr>
            <a:t>Sjálfgefin gildi eru 1 ha á hverjar 10 kindur og 1,4 ha. á hverja kú, 1/10 fái jarðræktarstyrki og 9/10 landgreiðslur.
</a:t>
          </a:r>
          <a:r>
            <a:rPr lang="en-US" cap="none" sz="1000" b="0" i="0" u="none" baseline="0">
              <a:solidFill>
                <a:srgbClr val="000000"/>
              </a:solidFill>
              <a:latin typeface="Calibri"/>
              <a:ea typeface="Calibri"/>
              <a:cs typeface="Calibri"/>
            </a:rPr>
            <a:t>Greiðslum er skipt á milli búgreina eftir hlutfalli búfjár og koma þar inn í samtölu. breyting frá útg. 1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Greiðslur v/sauðfjárbúa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Framlengdur sauðfjársamningur gildir út 2017 og eru framlög skv. nýjum samningi það ár óbreytt frá honum.</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Heildargreiðslumark 368.547 ærgildi
</a:t>
          </a:r>
          <a:r>
            <a:rPr lang="en-US" cap="none" sz="1000" b="0" i="0" u="none" baseline="0">
              <a:solidFill>
                <a:srgbClr val="000000"/>
              </a:solidFill>
              <a:latin typeface="Calibri"/>
              <a:ea typeface="Calibri"/>
              <a:cs typeface="Calibri"/>
            </a:rPr>
            <a:t>Álagsgreiðslur skiptast á 8.720. tonn sem er 5 ára meðaltal og hægt að breyta upphafsgildi, breyting frá útg. 1 en notað var 8.937,5 tonn sem var framleiðsla 2014. Framleiðsla 2015 er 8.270 tonn. Ekki er tekið tillit til breytinga er verða vegna greiðslna á allt kindakjöt eða stuðla hér.
</a:t>
          </a:r>
          <a:r>
            <a:rPr lang="en-US" cap="none" sz="1000" b="0" i="0" u="none" baseline="0">
              <a:solidFill>
                <a:srgbClr val="000000"/>
              </a:solidFill>
              <a:latin typeface="Calibri"/>
              <a:ea typeface="Calibri"/>
              <a:cs typeface="Calibri"/>
            </a:rPr>
            <a:t>Vetrarfóðraðar kindur 487.000. Svæðisbundinn stuðningur verður endurskilgreindur, hér er gert ráð fyrir að stuðningurinn skiptist á milli 400 búa en um 350 bú fá hann nú. 
</a:t>
          </a:r>
          <a:r>
            <a:rPr lang="en-US" cap="none" sz="1000" b="0" i="0" u="none" baseline="0">
              <a:solidFill>
                <a:srgbClr val="FF0000"/>
              </a:solidFill>
              <a:latin typeface="Calibri"/>
              <a:ea typeface="Calibri"/>
              <a:cs typeface="Calibri"/>
            </a:rPr>
            <a:t>Býlisstuðningur sé 80%</a:t>
          </a:r>
          <a:r>
            <a:rPr lang="en-US" cap="none" sz="1000" b="0" i="0" u="none" baseline="0">
              <a:solidFill>
                <a:srgbClr val="FF0000"/>
              </a:solidFill>
              <a:latin typeface="Calibri"/>
              <a:ea typeface="Calibri"/>
              <a:cs typeface="Calibri"/>
            </a:rPr>
            <a:t> 2018, 100% 2019 og taki svo vatnshalla. </a:t>
          </a:r>
          <a:r>
            <a:rPr lang="en-US" cap="none" sz="1000" b="0" i="0" u="none" baseline="0">
              <a:solidFill>
                <a:srgbClr val="000000"/>
              </a:solidFill>
              <a:latin typeface="Calibri"/>
              <a:ea typeface="Calibri"/>
              <a:cs typeface="Calibri"/>
            </a:rPr>
            <a:t>Bætt er við línu með kg. ærkjöts en sjálfgefið er miðað við 10% vetrarfóðraðra kinda með fallþunga 25 kg. – hægt að breyta, breyting frá útg. 1. Reiknað er með innleggsverði ullar 300 kr. og að allur stuðningur við ull skiptist á fjárfjölda.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Greiðslur v/kúabúa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Innanlandsneysla/greiðslumark 136 milljón lítra. Innvegið magn árið 2015 er 146 milljón lítra– sett</a:t>
          </a:r>
          <a:r>
            <a:rPr lang="en-US" cap="none" sz="1000" b="0" i="0" u="none" baseline="0">
              <a:solidFill>
                <a:srgbClr val="000000"/>
              </a:solidFill>
              <a:latin typeface="Calibri"/>
              <a:ea typeface="Calibri"/>
              <a:cs typeface="Calibri"/>
            </a:rPr>
            <a:t> er 150 mkr. árið 2016 en </a:t>
          </a:r>
          <a:r>
            <a:rPr lang="en-US" cap="none" sz="1000" b="0" i="0" u="none" baseline="0">
              <a:solidFill>
                <a:srgbClr val="000000"/>
              </a:solidFill>
              <a:latin typeface="Calibri"/>
              <a:ea typeface="Calibri"/>
              <a:cs typeface="Calibri"/>
            </a:rPr>
            <a:t>hægt að breyta, breyting frá útg. 1.
</a:t>
          </a:r>
          <a:r>
            <a:rPr lang="en-US" cap="none" sz="1000" b="0" i="0" u="none" baseline="0">
              <a:solidFill>
                <a:srgbClr val="000000"/>
              </a:solidFill>
              <a:latin typeface="Calibri"/>
              <a:ea typeface="Calibri"/>
              <a:cs typeface="Calibri"/>
            </a:rPr>
            <a:t>Mjólkurkýr 27.000 og holdakýr 2.000. Framleitt ungnautakjöt 2.200 tonn - miðað er við að stuðningur við nautakjöt skiptist á um 1.500 tonn í upphafi og greiðist út á 2/3 framleitt ungnautakjöt. Breyta má hlutfallinu fyrir sitt bú - breyting frá útg. 1
</a:t>
          </a:r>
          <a:r>
            <a:rPr lang="en-US" cap="none" sz="1000" b="0" i="0" u="none" baseline="0">
              <a:solidFill>
                <a:srgbClr val="000000"/>
              </a:solidFill>
              <a:latin typeface="Calibri"/>
              <a:ea typeface="Calibri"/>
              <a:cs typeface="Calibri"/>
            </a:rPr>
            <a:t>Beingreiðslur í mjólk 2016 í línu A-greiðslna (A+B+C) að jafnaði 41 kr/l. – breyting frá útg. 1
</a:t>
          </a:r>
          <a:r>
            <a:rPr lang="en-US" cap="none" sz="1000" b="0" i="0" u="none" baseline="0">
              <a:solidFill>
                <a:srgbClr val="000000"/>
              </a:solidFill>
              <a:latin typeface="Calibri"/>
              <a:ea typeface="Calibri"/>
              <a:cs typeface="Calibri"/>
            </a:rPr>
            <a:t>Gripagreiðslur 2016; 22.300 kr/mjólkurkú og 44.600 kr/holdakú. Afurðarstöðvarverð 2016; 84,39 kr/l – hægt að breyta, Umframmjólk 2017; 40 kr/l – hægt að breyta. Meðalverð ungnautakjöts 730 kr/kg – hægt að breyta. Meðalverð kýrkjöts 560 kr/kg – hægt að breyta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Aðrar forsendur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Sjálfgefinn útreikningur miðaðst annars við núverandi stöðu. Hægt er að velja breytingar á einstökum liðum á landsvísu, þín spá um árlega þróun, sem hefur þá áhrif á einingarverð í útreikningum, en hefur ekki áhrif á magntölur viðkomandi bús.
</a:t>
          </a:r>
          <a:r>
            <a:rPr lang="en-US" cap="none" sz="1000" b="0" i="0" u="none" baseline="0">
              <a:solidFill>
                <a:srgbClr val="000000"/>
              </a:solidFill>
              <a:latin typeface="Calibri"/>
              <a:ea typeface="Calibri"/>
              <a:cs typeface="Calibri"/>
            </a:rPr>
            <a:t>Bætt hefur verið við dálki fyrir aftan þína spá sem sýnir hversu mikið árleg spá breytir samningstímanum í heild.
</a:t>
          </a:r>
          <a:r>
            <a:rPr lang="en-US" cap="none" sz="1000" b="0" i="0" u="none" baseline="0">
              <a:solidFill>
                <a:srgbClr val="000000"/>
              </a:solidFill>
              <a:latin typeface="Calibri"/>
              <a:ea typeface="Calibri"/>
              <a:cs typeface="Calibri"/>
            </a:rPr>
            <a:t>Bæði er sýnd breyting miðað við 2017 og </a:t>
          </a:r>
          <a:r>
            <a:rPr lang="en-US" cap="none" sz="1000" b="0" i="0" u="none" baseline="0">
              <a:solidFill>
                <a:srgbClr val="000000"/>
              </a:solidFill>
              <a:latin typeface="Calibri"/>
              <a:ea typeface="Calibri"/>
              <a:cs typeface="Calibri"/>
            </a:rPr>
            <a:t>2016 - </a:t>
          </a:r>
          <a:r>
            <a:rPr lang="en-US" cap="none" sz="1000" b="0" i="0" u="none" baseline="0">
              <a:solidFill>
                <a:srgbClr val="000000"/>
              </a:solidFill>
              <a:latin typeface="Calibri"/>
              <a:ea typeface="Calibri"/>
              <a:cs typeface="Calibri"/>
            </a:rPr>
            <a:t>breyting frá útg. 1
</a:t>
          </a:r>
          <a:r>
            <a:rPr lang="en-US" cap="none" sz="1000" b="0" i="0" u="none" baseline="0">
              <a:solidFill>
                <a:srgbClr val="FF0000"/>
              </a:solidFill>
              <a:latin typeface="Calibri"/>
              <a:ea typeface="Calibri"/>
              <a:cs typeface="Calibri"/>
            </a:rPr>
            <a:t>Bætt við árlegri verðbólguspá fyrir opinberan stuðning - breyting frá útg.2.
</a:t>
          </a:r>
        </a:p>
      </xdr:txBody>
    </xdr:sp>
    <xdr:clientData/>
  </xdr:twoCellAnchor>
  <xdr:twoCellAnchor>
    <xdr:from>
      <xdr:col>0</xdr:col>
      <xdr:colOff>2333625</xdr:colOff>
      <xdr:row>1</xdr:row>
      <xdr:rowOff>571500</xdr:rowOff>
    </xdr:from>
    <xdr:to>
      <xdr:col>5</xdr:col>
      <xdr:colOff>0</xdr:colOff>
      <xdr:row>1</xdr:row>
      <xdr:rowOff>838200</xdr:rowOff>
    </xdr:to>
    <xdr:sp>
      <xdr:nvSpPr>
        <xdr:cNvPr id="3" name="TextBox 4"/>
        <xdr:cNvSpPr txBox="1">
          <a:spLocks noChangeArrowheads="1"/>
        </xdr:cNvSpPr>
      </xdr:nvSpPr>
      <xdr:spPr>
        <a:xfrm>
          <a:off x="2333625" y="1104900"/>
          <a:ext cx="3181350" cy="266700"/>
        </a:xfrm>
        <a:prstGeom prst="rect">
          <a:avLst/>
        </a:prstGeom>
        <a:solidFill>
          <a:srgbClr val="FFF2CC"/>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Ábendingar og</a:t>
          </a:r>
          <a:r>
            <a:rPr lang="en-US" cap="none" sz="1200" b="0" i="0" u="none" baseline="0">
              <a:solidFill>
                <a:srgbClr val="000000"/>
              </a:solidFill>
              <a:latin typeface="Calibri"/>
              <a:ea typeface="Calibri"/>
              <a:cs typeface="Calibri"/>
            </a:rPr>
            <a:t> fyrirspurnir sendist á jle@rml.is
</a:t>
          </a:r>
        </a:p>
      </xdr:txBody>
    </xdr:sp>
    <xdr:clientData/>
  </xdr:twoCellAnchor>
  <xdr:twoCellAnchor>
    <xdr:from>
      <xdr:col>9</xdr:col>
      <xdr:colOff>133350</xdr:colOff>
      <xdr:row>103</xdr:row>
      <xdr:rowOff>0</xdr:rowOff>
    </xdr:from>
    <xdr:to>
      <xdr:col>13</xdr:col>
      <xdr:colOff>923925</xdr:colOff>
      <xdr:row>121</xdr:row>
      <xdr:rowOff>38100</xdr:rowOff>
    </xdr:to>
    <xdr:graphicFrame>
      <xdr:nvGraphicFramePr>
        <xdr:cNvPr id="4" name="Chart 5"/>
        <xdr:cNvGraphicFramePr/>
      </xdr:nvGraphicFramePr>
      <xdr:xfrm>
        <a:off x="9725025" y="22498050"/>
        <a:ext cx="4867275" cy="3467100"/>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103</xdr:row>
      <xdr:rowOff>9525</xdr:rowOff>
    </xdr:from>
    <xdr:to>
      <xdr:col>9</xdr:col>
      <xdr:colOff>28575</xdr:colOff>
      <xdr:row>121</xdr:row>
      <xdr:rowOff>66675</xdr:rowOff>
    </xdr:to>
    <xdr:graphicFrame>
      <xdr:nvGraphicFramePr>
        <xdr:cNvPr id="5" name="Chart 6"/>
        <xdr:cNvGraphicFramePr/>
      </xdr:nvGraphicFramePr>
      <xdr:xfrm>
        <a:off x="4714875" y="22507575"/>
        <a:ext cx="4905375" cy="3486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103</xdr:row>
      <xdr:rowOff>9525</xdr:rowOff>
    </xdr:from>
    <xdr:to>
      <xdr:col>4</xdr:col>
      <xdr:colOff>95250</xdr:colOff>
      <xdr:row>121</xdr:row>
      <xdr:rowOff>76200</xdr:rowOff>
    </xdr:to>
    <xdr:graphicFrame>
      <xdr:nvGraphicFramePr>
        <xdr:cNvPr id="6" name="Chart 7"/>
        <xdr:cNvGraphicFramePr/>
      </xdr:nvGraphicFramePr>
      <xdr:xfrm>
        <a:off x="0" y="22507575"/>
        <a:ext cx="4591050" cy="34956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95250</xdr:colOff>
      <xdr:row>30</xdr:row>
      <xdr:rowOff>190500</xdr:rowOff>
    </xdr:from>
    <xdr:to>
      <xdr:col>2</xdr:col>
      <xdr:colOff>76200</xdr:colOff>
      <xdr:row>32</xdr:row>
      <xdr:rowOff>209550</xdr:rowOff>
    </xdr:to>
    <xdr:pic>
      <xdr:nvPicPr>
        <xdr:cNvPr id="7" name="Picture 8"/>
        <xdr:cNvPicPr preferRelativeResize="1">
          <a:picLocks noChangeAspect="1"/>
        </xdr:cNvPicPr>
      </xdr:nvPicPr>
      <xdr:blipFill>
        <a:blip r:embed="rId4"/>
        <a:stretch>
          <a:fillRect/>
        </a:stretch>
      </xdr:blipFill>
      <xdr:spPr>
        <a:xfrm>
          <a:off x="2514600" y="8591550"/>
          <a:ext cx="809625" cy="619125"/>
        </a:xfrm>
        <a:prstGeom prst="rect">
          <a:avLst/>
        </a:prstGeom>
        <a:noFill/>
        <a:ln w="9525" cmpd="sng">
          <a:noFill/>
        </a:ln>
      </xdr:spPr>
    </xdr:pic>
    <xdr:clientData/>
  </xdr:twoCellAnchor>
  <xdr:twoCellAnchor editAs="oneCell">
    <xdr:from>
      <xdr:col>13</xdr:col>
      <xdr:colOff>123825</xdr:colOff>
      <xdr:row>86</xdr:row>
      <xdr:rowOff>28575</xdr:rowOff>
    </xdr:from>
    <xdr:to>
      <xdr:col>13</xdr:col>
      <xdr:colOff>1019175</xdr:colOff>
      <xdr:row>88</xdr:row>
      <xdr:rowOff>142875</xdr:rowOff>
    </xdr:to>
    <xdr:pic>
      <xdr:nvPicPr>
        <xdr:cNvPr id="8" name="Picture 9"/>
        <xdr:cNvPicPr preferRelativeResize="1">
          <a:picLocks noChangeAspect="1"/>
        </xdr:cNvPicPr>
      </xdr:nvPicPr>
      <xdr:blipFill>
        <a:blip r:embed="rId4"/>
        <a:stretch>
          <a:fillRect/>
        </a:stretch>
      </xdr:blipFill>
      <xdr:spPr>
        <a:xfrm>
          <a:off x="13792200" y="19126200"/>
          <a:ext cx="895350" cy="657225"/>
        </a:xfrm>
        <a:prstGeom prst="rect">
          <a:avLst/>
        </a:prstGeom>
        <a:noFill/>
        <a:ln w="9525" cmpd="sng">
          <a:noFill/>
        </a:ln>
      </xdr:spPr>
    </xdr:pic>
    <xdr:clientData/>
  </xdr:twoCellAnchor>
  <xdr:twoCellAnchor>
    <xdr:from>
      <xdr:col>0</xdr:col>
      <xdr:colOff>171450</xdr:colOff>
      <xdr:row>25</xdr:row>
      <xdr:rowOff>114300</xdr:rowOff>
    </xdr:from>
    <xdr:to>
      <xdr:col>7</xdr:col>
      <xdr:colOff>895350</xdr:colOff>
      <xdr:row>30</xdr:row>
      <xdr:rowOff>47625</xdr:rowOff>
    </xdr:to>
    <xdr:sp>
      <xdr:nvSpPr>
        <xdr:cNvPr id="9" name="TextBox 10"/>
        <xdr:cNvSpPr txBox="1">
          <a:spLocks noChangeArrowheads="1"/>
        </xdr:cNvSpPr>
      </xdr:nvSpPr>
      <xdr:spPr>
        <a:xfrm>
          <a:off x="171450" y="7591425"/>
          <a:ext cx="82772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Þín spá um þróun á landsvísu:
</a:t>
          </a:r>
          <a:r>
            <a:rPr lang="en-US" cap="none" sz="1100" b="0" i="0" u="none" baseline="0">
              <a:solidFill>
                <a:srgbClr val="000000"/>
              </a:solidFill>
              <a:latin typeface="Calibri"/>
              <a:ea typeface="Calibri"/>
              <a:cs typeface="Calibri"/>
            </a:rPr>
            <a:t>Þróunarprósenta reiknar árlega hækkun/lækkun á viðkomandi lið í landsframleiðslu út áætlunartímann.  Þannig gefur 1% við</a:t>
          </a:r>
          <a:r>
            <a:rPr lang="en-US" cap="none" sz="1100" b="0" i="0" u="none" baseline="0">
              <a:solidFill>
                <a:srgbClr val="000000"/>
              </a:solidFill>
              <a:latin typeface="Calibri"/>
              <a:ea typeface="Calibri"/>
              <a:cs typeface="Calibri"/>
            </a:rPr>
            <a:t> kindakjöt að vetrarfóðruðum kindum fjölgi um 1% á ári og -1% gefur að vetrarfóðruðum kindum fækki um 1% á ári, sem hefur áhrif á einingaverð opinbers stuðnings sem greiddur er út á kind eins og gripagreiðslur. Það hefur hins vegar ekki áhrif á framleiðslutölur viðkomandi bús. </a:t>
          </a:r>
        </a:p>
      </xdr:txBody>
    </xdr:sp>
    <xdr:clientData/>
  </xdr:twoCellAnchor>
  <xdr:twoCellAnchor editAs="oneCell">
    <xdr:from>
      <xdr:col>12</xdr:col>
      <xdr:colOff>0</xdr:colOff>
      <xdr:row>0</xdr:row>
      <xdr:rowOff>66675</xdr:rowOff>
    </xdr:from>
    <xdr:to>
      <xdr:col>13</xdr:col>
      <xdr:colOff>742950</xdr:colOff>
      <xdr:row>1</xdr:row>
      <xdr:rowOff>866775</xdr:rowOff>
    </xdr:to>
    <xdr:pic>
      <xdr:nvPicPr>
        <xdr:cNvPr id="10" name="Picture 3"/>
        <xdr:cNvPicPr preferRelativeResize="1">
          <a:picLocks noChangeAspect="1"/>
        </xdr:cNvPicPr>
      </xdr:nvPicPr>
      <xdr:blipFill>
        <a:blip r:embed="rId4"/>
        <a:stretch>
          <a:fillRect/>
        </a:stretch>
      </xdr:blipFill>
      <xdr:spPr>
        <a:xfrm>
          <a:off x="12649200" y="66675"/>
          <a:ext cx="176212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12</xdr:col>
      <xdr:colOff>9525</xdr:colOff>
      <xdr:row>1</xdr:row>
      <xdr:rowOff>504825</xdr:rowOff>
    </xdr:to>
    <xdr:sp>
      <xdr:nvSpPr>
        <xdr:cNvPr id="1" name="TextBox 1"/>
        <xdr:cNvSpPr txBox="1">
          <a:spLocks noChangeArrowheads="1"/>
        </xdr:cNvSpPr>
      </xdr:nvSpPr>
      <xdr:spPr>
        <a:xfrm>
          <a:off x="95250" y="561975"/>
          <a:ext cx="1196340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Líkan þetta er unnið af Jóhönnu Lind ábyrgðarmanni rekstrarráðgjafar hjá</a:t>
          </a:r>
          <a:r>
            <a:rPr lang="en-US" cap="none" sz="1100" b="0" i="0" u="none" baseline="0">
              <a:solidFill>
                <a:srgbClr val="000000"/>
              </a:solidFill>
              <a:latin typeface="Calibri"/>
              <a:ea typeface="Calibri"/>
              <a:cs typeface="Calibri"/>
            </a:rPr>
            <a:t> Ráðgjafarmiðstöð landbúnaðarins. Fyrirvari er um innsláttarvillur og almennar forsendur framleiðslumagns og raforkuverðs. Líkanið verður uppfært eftir því sem upplýsingar um framkvæmd og viðmiðanir liggja fyrir.  Útgefið þann 3. mars 2016</a:t>
          </a:r>
        </a:p>
      </xdr:txBody>
    </xdr:sp>
    <xdr:clientData/>
  </xdr:twoCellAnchor>
  <xdr:twoCellAnchor>
    <xdr:from>
      <xdr:col>5</xdr:col>
      <xdr:colOff>104775</xdr:colOff>
      <xdr:row>1</xdr:row>
      <xdr:rowOff>981075</xdr:rowOff>
    </xdr:from>
    <xdr:to>
      <xdr:col>13</xdr:col>
      <xdr:colOff>828675</xdr:colOff>
      <xdr:row>13</xdr:row>
      <xdr:rowOff>85725</xdr:rowOff>
    </xdr:to>
    <xdr:sp>
      <xdr:nvSpPr>
        <xdr:cNvPr id="2" name="TextBox 2"/>
        <xdr:cNvSpPr txBox="1">
          <a:spLocks noChangeArrowheads="1"/>
        </xdr:cNvSpPr>
      </xdr:nvSpPr>
      <xdr:spPr>
        <a:xfrm>
          <a:off x="5486400" y="1514475"/>
          <a:ext cx="834390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Forsendur</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Greiðslur vegna garðyrkjusamnings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Fyrir árið 2016 er gert ráð fyrir að beingreiðslur séu: 90 kr/kg v/tómata, 50 kr/kg v/gúrka og 170 kr/kg v/papriku.
</a:t>
          </a:r>
          <a:r>
            <a:rPr lang="en-US" cap="none" sz="1100" b="0" i="0" u="none" baseline="0">
              <a:solidFill>
                <a:srgbClr val="000000"/>
              </a:solidFill>
              <a:latin typeface="Calibri"/>
              <a:ea typeface="Calibri"/>
              <a:cs typeface="Calibri"/>
            </a:rPr>
            <a:t>Á samaningstímanum er stuðningi skipt á selt magn á landsvísu skv. skiptingu í garðyrkjusamningi til að finna einingaverð.
</a:t>
          </a:r>
          <a:r>
            <a:rPr lang="en-US" cap="none" sz="1100" b="0" i="0" u="none" baseline="0">
              <a:solidFill>
                <a:srgbClr val="000000"/>
              </a:solidFill>
              <a:latin typeface="Calibri"/>
              <a:ea typeface="Calibri"/>
              <a:cs typeface="Calibri"/>
            </a:rPr>
            <a:t>Skerðingarmörk á raforkugreiðslur er 10% af heildarfjárhæð beingreiðslna hverju sinni.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Ekki er lagt mat á stuðning vegna raforku 2016
</a:t>
          </a:r>
          <a:r>
            <a:rPr lang="en-US" cap="none" sz="1100" b="0" i="0" u="none" baseline="0">
              <a:solidFill>
                <a:srgbClr val="000000"/>
              </a:solidFill>
              <a:latin typeface="Calibri"/>
              <a:ea typeface="Calibri"/>
              <a:cs typeface="Calibri"/>
            </a:rPr>
            <a:t>Við útreikning á raforkustuðningi er miðað við að greiðslum sé skipt á notaðar gígawattstundir skv. línu 14 og að það sé hámarksstuðningur á hverja kílówattstund. Ef sú fjárhæð er hærri en 95% af þínum taxta er miðað við 95%. Ef notkun er minni en 100 kílówattstundir reiknast enginn raforkustuðningur.
</a:t>
          </a:r>
          <a:r>
            <a:rPr lang="en-US" cap="none" sz="1100" b="0" i="0" u="none" baseline="0">
              <a:solidFill>
                <a:srgbClr val="000000"/>
              </a:solidFill>
              <a:latin typeface="Calibri"/>
              <a:ea typeface="Calibri"/>
              <a:cs typeface="Calibri"/>
            </a:rPr>
            <a:t>Skerðingarmörk á raforkugreiðslur er 15% af heildarfjárhæð raforkustuðnings hverju sinni.
</a:t>
          </a:r>
        </a:p>
      </xdr:txBody>
    </xdr:sp>
    <xdr:clientData/>
  </xdr:twoCellAnchor>
  <xdr:twoCellAnchor>
    <xdr:from>
      <xdr:col>0</xdr:col>
      <xdr:colOff>2333625</xdr:colOff>
      <xdr:row>1</xdr:row>
      <xdr:rowOff>571500</xdr:rowOff>
    </xdr:from>
    <xdr:to>
      <xdr:col>5</xdr:col>
      <xdr:colOff>0</xdr:colOff>
      <xdr:row>1</xdr:row>
      <xdr:rowOff>838200</xdr:rowOff>
    </xdr:to>
    <xdr:sp>
      <xdr:nvSpPr>
        <xdr:cNvPr id="3" name="TextBox 3"/>
        <xdr:cNvSpPr txBox="1">
          <a:spLocks noChangeArrowheads="1"/>
        </xdr:cNvSpPr>
      </xdr:nvSpPr>
      <xdr:spPr>
        <a:xfrm>
          <a:off x="2333625" y="1104900"/>
          <a:ext cx="3048000" cy="266700"/>
        </a:xfrm>
        <a:prstGeom prst="rect">
          <a:avLst/>
        </a:prstGeom>
        <a:solidFill>
          <a:srgbClr val="FFF2CC"/>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Ábendingar og</a:t>
          </a:r>
          <a:r>
            <a:rPr lang="en-US" cap="none" sz="1200" b="0" i="0" u="none" baseline="0">
              <a:solidFill>
                <a:srgbClr val="000000"/>
              </a:solidFill>
              <a:latin typeface="Calibri"/>
              <a:ea typeface="Calibri"/>
              <a:cs typeface="Calibri"/>
            </a:rPr>
            <a:t> fyrirspurnir sendist á jle@rml.is
</a:t>
          </a:r>
        </a:p>
      </xdr:txBody>
    </xdr:sp>
    <xdr:clientData/>
  </xdr:twoCellAnchor>
  <xdr:twoCellAnchor>
    <xdr:from>
      <xdr:col>0</xdr:col>
      <xdr:colOff>0</xdr:colOff>
      <xdr:row>42</xdr:row>
      <xdr:rowOff>9525</xdr:rowOff>
    </xdr:from>
    <xdr:to>
      <xdr:col>4</xdr:col>
      <xdr:colOff>95250</xdr:colOff>
      <xdr:row>60</xdr:row>
      <xdr:rowOff>76200</xdr:rowOff>
    </xdr:to>
    <xdr:graphicFrame>
      <xdr:nvGraphicFramePr>
        <xdr:cNvPr id="4" name="Chart 6"/>
        <xdr:cNvGraphicFramePr/>
      </xdr:nvGraphicFramePr>
      <xdr:xfrm>
        <a:off x="0" y="10715625"/>
        <a:ext cx="4524375" cy="3495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95250</xdr:colOff>
      <xdr:row>22</xdr:row>
      <xdr:rowOff>190500</xdr:rowOff>
    </xdr:from>
    <xdr:to>
      <xdr:col>2</xdr:col>
      <xdr:colOff>28575</xdr:colOff>
      <xdr:row>24</xdr:row>
      <xdr:rowOff>209550</xdr:rowOff>
    </xdr:to>
    <xdr:pic>
      <xdr:nvPicPr>
        <xdr:cNvPr id="5" name="Picture 7"/>
        <xdr:cNvPicPr preferRelativeResize="1">
          <a:picLocks noChangeAspect="1"/>
        </xdr:cNvPicPr>
      </xdr:nvPicPr>
      <xdr:blipFill>
        <a:blip r:embed="rId2"/>
        <a:stretch>
          <a:fillRect/>
        </a:stretch>
      </xdr:blipFill>
      <xdr:spPr>
        <a:xfrm>
          <a:off x="2514600" y="6657975"/>
          <a:ext cx="762000" cy="619125"/>
        </a:xfrm>
        <a:prstGeom prst="rect">
          <a:avLst/>
        </a:prstGeom>
        <a:noFill/>
        <a:ln w="9525" cmpd="sng">
          <a:noFill/>
        </a:ln>
      </xdr:spPr>
    </xdr:pic>
    <xdr:clientData/>
  </xdr:twoCellAnchor>
  <xdr:twoCellAnchor editAs="oneCell">
    <xdr:from>
      <xdr:col>13</xdr:col>
      <xdr:colOff>180975</xdr:colOff>
      <xdr:row>35</xdr:row>
      <xdr:rowOff>28575</xdr:rowOff>
    </xdr:from>
    <xdr:to>
      <xdr:col>13</xdr:col>
      <xdr:colOff>933450</xdr:colOff>
      <xdr:row>38</xdr:row>
      <xdr:rowOff>28575</xdr:rowOff>
    </xdr:to>
    <xdr:pic>
      <xdr:nvPicPr>
        <xdr:cNvPr id="6" name="Picture 8"/>
        <xdr:cNvPicPr preferRelativeResize="1">
          <a:picLocks noChangeAspect="1"/>
        </xdr:cNvPicPr>
      </xdr:nvPicPr>
      <xdr:blipFill>
        <a:blip r:embed="rId2"/>
        <a:stretch>
          <a:fillRect/>
        </a:stretch>
      </xdr:blipFill>
      <xdr:spPr>
        <a:xfrm>
          <a:off x="13182600" y="9239250"/>
          <a:ext cx="752475" cy="733425"/>
        </a:xfrm>
        <a:prstGeom prst="rect">
          <a:avLst/>
        </a:prstGeom>
        <a:noFill/>
        <a:ln w="9525" cmpd="sng">
          <a:noFill/>
        </a:ln>
      </xdr:spPr>
    </xdr:pic>
    <xdr:clientData/>
  </xdr:twoCellAnchor>
  <xdr:twoCellAnchor>
    <xdr:from>
      <xdr:col>0</xdr:col>
      <xdr:colOff>171450</xdr:colOff>
      <xdr:row>17</xdr:row>
      <xdr:rowOff>114300</xdr:rowOff>
    </xdr:from>
    <xdr:to>
      <xdr:col>7</xdr:col>
      <xdr:colOff>895350</xdr:colOff>
      <xdr:row>22</xdr:row>
      <xdr:rowOff>47625</xdr:rowOff>
    </xdr:to>
    <xdr:sp>
      <xdr:nvSpPr>
        <xdr:cNvPr id="7" name="TextBox 9"/>
        <xdr:cNvSpPr txBox="1">
          <a:spLocks noChangeArrowheads="1"/>
        </xdr:cNvSpPr>
      </xdr:nvSpPr>
      <xdr:spPr>
        <a:xfrm>
          <a:off x="171450" y="5657850"/>
          <a:ext cx="80105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Þín spá um þróun á landsvísu:
</a:t>
          </a:r>
          <a:r>
            <a:rPr lang="en-US" cap="none" sz="1100" b="0" i="0" u="none" baseline="0">
              <a:solidFill>
                <a:srgbClr val="000000"/>
              </a:solidFill>
              <a:latin typeface="Calibri"/>
              <a:ea typeface="Calibri"/>
              <a:cs typeface="Calibri"/>
            </a:rPr>
            <a:t>Þróunarprósenta reiknar árlega hækkun/lækkun á viðkomandi lið í landsframleiðslu út áætlunartímann.  Þannig gefur 1% við</a:t>
          </a:r>
          <a:r>
            <a:rPr lang="en-US" cap="none" sz="1100" b="0" i="0" u="none" baseline="0">
              <a:solidFill>
                <a:srgbClr val="000000"/>
              </a:solidFill>
              <a:latin typeface="Calibri"/>
              <a:ea typeface="Calibri"/>
              <a:cs typeface="Calibri"/>
            </a:rPr>
            <a:t> kindakjöt að vetrarfóðruðum kindum fjölgi um 1% á ári og -1% gefur að vetrarfóðruðum kindum fækki um 1% á ári, sem hefur áhrif á einingaverð opinbers stuðnings sem greiddur er út á kind eins og gripagreiðslur. Það hefur hins vegar ekki áhrif á framleiðslutölur viðkomandi bús. </a:t>
          </a:r>
        </a:p>
      </xdr:txBody>
    </xdr:sp>
    <xdr:clientData/>
  </xdr:twoCellAnchor>
  <xdr:twoCellAnchor editAs="oneCell">
    <xdr:from>
      <xdr:col>12</xdr:col>
      <xdr:colOff>0</xdr:colOff>
      <xdr:row>0</xdr:row>
      <xdr:rowOff>66675</xdr:rowOff>
    </xdr:from>
    <xdr:to>
      <xdr:col>13</xdr:col>
      <xdr:colOff>819150</xdr:colOff>
      <xdr:row>1</xdr:row>
      <xdr:rowOff>933450</xdr:rowOff>
    </xdr:to>
    <xdr:pic>
      <xdr:nvPicPr>
        <xdr:cNvPr id="8" name="Picture 10"/>
        <xdr:cNvPicPr preferRelativeResize="1">
          <a:picLocks noChangeAspect="1"/>
        </xdr:cNvPicPr>
      </xdr:nvPicPr>
      <xdr:blipFill>
        <a:blip r:embed="rId2"/>
        <a:stretch>
          <a:fillRect/>
        </a:stretch>
      </xdr:blipFill>
      <xdr:spPr>
        <a:xfrm>
          <a:off x="12049125" y="66675"/>
          <a:ext cx="177165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102"/>
  <sheetViews>
    <sheetView tabSelected="1" zoomScale="70" zoomScaleNormal="70" zoomScalePageLayoutView="0" workbookViewId="0" topLeftCell="A1">
      <selection activeCell="F20" sqref="F20"/>
    </sheetView>
  </sheetViews>
  <sheetFormatPr defaultColWidth="9.140625" defaultRowHeight="15"/>
  <cols>
    <col min="1" max="1" width="36.28125" style="0" customWidth="1"/>
    <col min="2" max="2" width="12.421875" style="0" bestFit="1" customWidth="1"/>
    <col min="3" max="3" width="3.421875" style="0" customWidth="1"/>
    <col min="4" max="14" width="15.28125" style="0" customWidth="1"/>
  </cols>
  <sheetData>
    <row r="1" ht="42" customHeight="1">
      <c r="A1" s="29" t="s">
        <v>92</v>
      </c>
    </row>
    <row r="2" ht="105" customHeight="1" thickBot="1">
      <c r="A2" s="257" t="s">
        <v>222</v>
      </c>
    </row>
    <row r="3" spans="1:3" ht="24" customHeight="1" thickBot="1">
      <c r="A3" s="159" t="s">
        <v>113</v>
      </c>
      <c r="C3" s="8"/>
    </row>
    <row r="4" spans="1:5" ht="68.25" customHeight="1" thickBot="1">
      <c r="A4" s="78" t="s">
        <v>134</v>
      </c>
      <c r="B4" s="10" t="s">
        <v>109</v>
      </c>
      <c r="C4" s="14"/>
      <c r="D4" s="11" t="s">
        <v>163</v>
      </c>
      <c r="E4" s="11" t="s">
        <v>164</v>
      </c>
    </row>
    <row r="5" spans="1:5" ht="15">
      <c r="A5" s="9" t="s">
        <v>82</v>
      </c>
      <c r="B5" s="19">
        <v>600</v>
      </c>
      <c r="C5" s="101"/>
      <c r="D5" s="20"/>
      <c r="E5" s="124"/>
    </row>
    <row r="6" spans="1:5" ht="15">
      <c r="A6" s="12" t="s">
        <v>83</v>
      </c>
      <c r="B6" s="16">
        <v>600</v>
      </c>
      <c r="C6" s="15"/>
      <c r="D6" s="118">
        <v>0</v>
      </c>
      <c r="E6" s="126">
        <f>+sauðfé!N4</f>
        <v>0</v>
      </c>
    </row>
    <row r="7" spans="1:5" ht="45">
      <c r="A7" s="241" t="s">
        <v>217</v>
      </c>
      <c r="B7" s="16">
        <f>+B6*1.25</f>
        <v>750</v>
      </c>
      <c r="C7" s="15"/>
      <c r="D7" s="118">
        <v>0</v>
      </c>
      <c r="E7" s="125"/>
    </row>
    <row r="8" spans="1:5" ht="15">
      <c r="A8" s="12" t="s">
        <v>89</v>
      </c>
      <c r="B8" s="107">
        <v>16.5</v>
      </c>
      <c r="C8" s="15"/>
      <c r="D8" s="118">
        <v>0</v>
      </c>
      <c r="E8" s="125"/>
    </row>
    <row r="9" spans="1:5" ht="15">
      <c r="A9" s="12" t="s">
        <v>218</v>
      </c>
      <c r="B9" s="17">
        <f>IF(B7&gt;0,+B7*B8,0)</f>
        <v>12375</v>
      </c>
      <c r="C9" s="15"/>
      <c r="D9" s="119">
        <f>IF($B$7&gt;0,(((B7*(1+D7)*B8*(1+D8))/B9)-1),0)</f>
        <v>0</v>
      </c>
      <c r="E9" s="126">
        <f>+sauðfé!N3</f>
        <v>0</v>
      </c>
    </row>
    <row r="10" spans="1:5" ht="15">
      <c r="A10" s="12" t="s">
        <v>162</v>
      </c>
      <c r="B10" s="16">
        <f>+B6*0.1*25</f>
        <v>1500</v>
      </c>
      <c r="C10" s="15"/>
      <c r="D10" s="119"/>
      <c r="E10" s="125"/>
    </row>
    <row r="11" spans="1:5" ht="15">
      <c r="A11" s="12" t="s">
        <v>158</v>
      </c>
      <c r="B11" s="16">
        <v>1</v>
      </c>
      <c r="C11" s="15"/>
      <c r="D11" s="120"/>
      <c r="E11" s="125"/>
    </row>
    <row r="12" spans="1:5" ht="15">
      <c r="A12" s="12" t="s">
        <v>126</v>
      </c>
      <c r="B12" s="16">
        <v>600</v>
      </c>
      <c r="C12" s="15"/>
      <c r="D12" s="121">
        <v>0</v>
      </c>
      <c r="E12" s="126">
        <f>+sauðfé!N33</f>
        <v>0</v>
      </c>
    </row>
    <row r="13" spans="1:5" ht="15.75" thickBot="1">
      <c r="A13" s="13" t="s">
        <v>127</v>
      </c>
      <c r="B13" s="18">
        <v>180</v>
      </c>
      <c r="C13" s="21"/>
      <c r="D13" s="122">
        <v>0</v>
      </c>
      <c r="E13" s="126">
        <f>+sauðfé!N35</f>
        <v>0</v>
      </c>
    </row>
    <row r="14" spans="1:5" ht="15">
      <c r="A14" s="9" t="s">
        <v>104</v>
      </c>
      <c r="B14" s="74">
        <v>300000</v>
      </c>
      <c r="C14" s="102"/>
      <c r="D14" s="123">
        <v>0</v>
      </c>
      <c r="E14" s="126">
        <f>+nautgripir!N2</f>
        <v>0</v>
      </c>
    </row>
    <row r="15" spans="1:5" ht="15">
      <c r="A15" s="12" t="s">
        <v>86</v>
      </c>
      <c r="B15" s="75">
        <v>350000</v>
      </c>
      <c r="C15" s="73"/>
      <c r="D15" s="121">
        <v>0</v>
      </c>
      <c r="E15" s="126">
        <f>+nautgripir!N3</f>
        <v>0</v>
      </c>
    </row>
    <row r="16" spans="1:5" ht="15">
      <c r="A16" s="12" t="s">
        <v>84</v>
      </c>
      <c r="B16" s="75">
        <v>55</v>
      </c>
      <c r="C16" s="73"/>
      <c r="D16" s="121">
        <v>0</v>
      </c>
      <c r="E16" s="126">
        <f>+nautgripir!N4</f>
        <v>0</v>
      </c>
    </row>
    <row r="17" spans="1:5" ht="15">
      <c r="A17" s="12" t="s">
        <v>85</v>
      </c>
      <c r="B17" s="75">
        <v>10</v>
      </c>
      <c r="C17" s="73"/>
      <c r="D17" s="121">
        <v>0</v>
      </c>
      <c r="E17" s="126">
        <f>+nautgripir!N5</f>
        <v>0</v>
      </c>
    </row>
    <row r="18" spans="1:5" ht="15">
      <c r="A18" s="12" t="s">
        <v>130</v>
      </c>
      <c r="B18" s="75">
        <f>+B17*250+B16*0.5*230</f>
        <v>8825</v>
      </c>
      <c r="C18" s="73"/>
      <c r="D18" s="121">
        <v>0</v>
      </c>
      <c r="E18" s="126">
        <f>+nautgripir!N9</f>
        <v>0</v>
      </c>
    </row>
    <row r="19" spans="1:5" ht="15.75" thickBot="1">
      <c r="A19" s="12" t="s">
        <v>131</v>
      </c>
      <c r="B19" s="75">
        <f>+(B16+B17)*0.3*150</f>
        <v>2925</v>
      </c>
      <c r="C19" s="73"/>
      <c r="D19" s="121">
        <v>0</v>
      </c>
      <c r="E19" s="126">
        <f>+nautgripir!N10</f>
        <v>0</v>
      </c>
    </row>
    <row r="20" spans="1:10" ht="15.75" thickBot="1">
      <c r="A20" s="12" t="s">
        <v>128</v>
      </c>
      <c r="B20" s="77">
        <v>84.39</v>
      </c>
      <c r="C20" s="72"/>
      <c r="D20" s="121">
        <v>0</v>
      </c>
      <c r="E20" s="126">
        <f>+nautgripir!N30</f>
        <v>0</v>
      </c>
      <c r="F20" s="259">
        <v>0</v>
      </c>
      <c r="G20" s="266" t="s">
        <v>220</v>
      </c>
      <c r="H20" s="266"/>
      <c r="I20" s="266"/>
      <c r="J20" s="267"/>
    </row>
    <row r="21" spans="1:5" ht="15.75" thickBot="1">
      <c r="A21" s="12" t="s">
        <v>129</v>
      </c>
      <c r="B21" s="75">
        <v>40</v>
      </c>
      <c r="C21" s="73"/>
      <c r="D21" s="121">
        <v>0</v>
      </c>
      <c r="E21" s="126">
        <f>+nautgripir!N31</f>
        <v>0</v>
      </c>
    </row>
    <row r="22" spans="1:12" ht="15">
      <c r="A22" s="12" t="s">
        <v>132</v>
      </c>
      <c r="B22" s="75">
        <v>730</v>
      </c>
      <c r="C22" s="73"/>
      <c r="D22" s="121">
        <v>0</v>
      </c>
      <c r="E22" s="126">
        <f>+nautgripir!N32</f>
        <v>0</v>
      </c>
      <c r="F22" s="112" t="s">
        <v>161</v>
      </c>
      <c r="G22" s="113"/>
      <c r="H22" s="113"/>
      <c r="I22" s="113"/>
      <c r="J22" s="113"/>
      <c r="K22" s="113"/>
      <c r="L22" s="114"/>
    </row>
    <row r="23" spans="1:12" ht="15.75" thickBot="1">
      <c r="A23" s="12" t="s">
        <v>133</v>
      </c>
      <c r="B23" s="75">
        <v>560</v>
      </c>
      <c r="C23" s="100"/>
      <c r="D23" s="121">
        <v>0</v>
      </c>
      <c r="E23" s="126">
        <f>+nautgripir!N33</f>
        <v>0</v>
      </c>
      <c r="F23" s="110">
        <v>8720</v>
      </c>
      <c r="G23" s="141" t="s">
        <v>166</v>
      </c>
      <c r="H23" s="141"/>
      <c r="I23" s="141"/>
      <c r="J23" s="141"/>
      <c r="K23" s="141"/>
      <c r="L23" s="162"/>
    </row>
    <row r="24" spans="1:12" ht="15">
      <c r="A24" s="9" t="s">
        <v>88</v>
      </c>
      <c r="B24" s="74">
        <f>($B$6/10+($B$16+$B$17)*1.4)*0.1</f>
        <v>15.100000000000001</v>
      </c>
      <c r="C24" s="262" t="s">
        <v>115</v>
      </c>
      <c r="D24" s="263"/>
      <c r="E24" s="127"/>
      <c r="F24" s="110">
        <v>150</v>
      </c>
      <c r="G24" s="141" t="s">
        <v>165</v>
      </c>
      <c r="H24" s="141"/>
      <c r="I24" s="141"/>
      <c r="J24" s="141"/>
      <c r="K24" s="141"/>
      <c r="L24" s="162"/>
    </row>
    <row r="25" spans="1:12" ht="15.75" thickBot="1">
      <c r="A25" s="13" t="s">
        <v>87</v>
      </c>
      <c r="B25" s="76">
        <f>($B$6/10+($B$16+$B$17)*1.4)*0.9</f>
        <v>135.9</v>
      </c>
      <c r="C25" s="264" t="s">
        <v>114</v>
      </c>
      <c r="D25" s="265"/>
      <c r="E25" s="128"/>
      <c r="F25" s="240">
        <f>2/3</f>
        <v>0.6666666666666666</v>
      </c>
      <c r="G25" s="170" t="s">
        <v>216</v>
      </c>
      <c r="H25" s="170"/>
      <c r="I25" s="170"/>
      <c r="J25" s="170"/>
      <c r="K25" s="170"/>
      <c r="L25" s="163"/>
    </row>
    <row r="26" spans="1:4" ht="15">
      <c r="A26" s="103"/>
      <c r="B26" s="105"/>
      <c r="C26" s="104"/>
      <c r="D26" s="104"/>
    </row>
    <row r="27" spans="1:4" ht="15">
      <c r="A27" s="103"/>
      <c r="B27" s="105"/>
      <c r="C27" s="104"/>
      <c r="D27" s="104"/>
    </row>
    <row r="28" spans="1:4" ht="15">
      <c r="A28" s="103"/>
      <c r="B28" s="105"/>
      <c r="C28" s="104"/>
      <c r="D28" s="104"/>
    </row>
    <row r="29" ht="12.75" customHeight="1">
      <c r="C29" s="8"/>
    </row>
    <row r="31" spans="1:4" ht="15" customHeight="1">
      <c r="A31" s="7"/>
      <c r="D31" s="8"/>
    </row>
    <row r="32" spans="1:14" ht="32.25" customHeight="1">
      <c r="A32" s="242" t="s">
        <v>221</v>
      </c>
      <c r="B32" s="243"/>
      <c r="C32" s="243"/>
      <c r="D32" s="244" t="s">
        <v>123</v>
      </c>
      <c r="E32" s="245"/>
      <c r="F32" s="246" t="s">
        <v>119</v>
      </c>
      <c r="G32" s="245" t="s">
        <v>120</v>
      </c>
      <c r="H32" s="245"/>
      <c r="I32" s="245"/>
      <c r="J32" s="245"/>
      <c r="K32" s="245" t="s">
        <v>120</v>
      </c>
      <c r="L32" s="245"/>
      <c r="M32" s="245"/>
      <c r="N32" s="245"/>
    </row>
    <row r="33" spans="1:14" ht="17.25" customHeight="1">
      <c r="A33" s="256" t="s">
        <v>167</v>
      </c>
      <c r="B33" s="247"/>
      <c r="C33" s="247"/>
      <c r="D33" s="248"/>
      <c r="E33" s="255">
        <f>+Rammi!D42</f>
        <v>1</v>
      </c>
      <c r="F33" s="255">
        <f>+Rammi!E42</f>
        <v>0.9894759761939323</v>
      </c>
      <c r="G33" s="255">
        <f>+Rammi!F42</f>
        <v>0.986427638263899</v>
      </c>
      <c r="H33" s="255">
        <f>+Rammi!G42</f>
        <v>0.9728552765277979</v>
      </c>
      <c r="I33" s="255">
        <f>+Rammi!H42</f>
        <v>0.9661779648715343</v>
      </c>
      <c r="J33" s="255">
        <f>+Rammi!I42</f>
        <v>0.9551458847437945</v>
      </c>
      <c r="K33" s="255">
        <f>+Rammi!J42</f>
        <v>0.9457831325301205</v>
      </c>
      <c r="L33" s="255">
        <f>+Rammi!K42</f>
        <v>0.9369284366381188</v>
      </c>
      <c r="M33" s="255">
        <f>+Rammi!L42</f>
        <v>0.9279285817970678</v>
      </c>
      <c r="N33" s="255">
        <f>+Rammi!M42</f>
        <v>0.9186384090579184</v>
      </c>
    </row>
    <row r="34" spans="1:14" ht="16.5" thickBot="1">
      <c r="A34" s="249" t="s">
        <v>90</v>
      </c>
      <c r="B34" s="250"/>
      <c r="C34" s="250"/>
      <c r="D34" s="251">
        <v>2016</v>
      </c>
      <c r="E34" s="251">
        <v>2017</v>
      </c>
      <c r="F34" s="251">
        <v>2018</v>
      </c>
      <c r="G34" s="251">
        <v>2019</v>
      </c>
      <c r="H34" s="251">
        <v>2020</v>
      </c>
      <c r="I34" s="251">
        <v>2021</v>
      </c>
      <c r="J34" s="251">
        <v>2022</v>
      </c>
      <c r="K34" s="251">
        <v>2023</v>
      </c>
      <c r="L34" s="251">
        <v>2024</v>
      </c>
      <c r="M34" s="251">
        <v>2025</v>
      </c>
      <c r="N34" s="251">
        <v>2026</v>
      </c>
    </row>
    <row r="35" spans="1:14" ht="15">
      <c r="A35" s="30" t="s">
        <v>1</v>
      </c>
      <c r="B35" s="30"/>
      <c r="C35" s="30"/>
      <c r="D35" s="87">
        <f>IF($B$6&lt;0.7*$B$5,$B$5*sauðfé!C28*$B$6/(0.7*$B$5),$B$5*sauðfé!C28)</f>
        <v>4132800</v>
      </c>
      <c r="E35" s="87">
        <f>IF($B$6&lt;0.7*$B$5,$B$5*sauðfé!D28*$B$6/(0.7*$B$5),$B$5*sauðfé!D28)</f>
        <v>4079805.289420346</v>
      </c>
      <c r="F35" s="93">
        <f>IF($B$6&lt;0.7*$B$5,$B$5*sauðfé!E28*$B$6/(0.7*$B$5),$B$5*sauðfé!E28)</f>
        <v>3690709.7330869604</v>
      </c>
      <c r="G35" s="93">
        <f>IF($B$6&lt;0.7*$B$5,$B$5*sauðfé!F28*$B$6/(0.7*$B$5),$B$5*sauðfé!F28)</f>
        <v>3589772.8105234886</v>
      </c>
      <c r="H35" s="93">
        <f>IF($B$6&lt;0.7*$B$5,$B$5*sauðfé!G28*$B$6/(0.7*$B$5),$B$5*sauðfé!G28)</f>
        <v>3164860.9268288715</v>
      </c>
      <c r="I35" s="93">
        <f>$B$5*sauðfé!H28</f>
        <v>2661804.3288915665</v>
      </c>
      <c r="J35" s="93">
        <f>$B$5*sauðfé!I28</f>
        <v>2147351.6267938693</v>
      </c>
      <c r="K35" s="93">
        <f>$B$5*sauðfé!J28</f>
        <v>1702903.5645385801</v>
      </c>
      <c r="L35" s="93">
        <f>$B$5*sauðfé!K28</f>
        <v>1264967.561803515</v>
      </c>
      <c r="M35" s="93">
        <f>$B$5*sauðfé!L28</f>
        <v>687022.2793836335</v>
      </c>
      <c r="N35" s="93">
        <f>$B$5*sauðfé!M28</f>
        <v>0</v>
      </c>
    </row>
    <row r="36" spans="1:14" ht="15">
      <c r="A36" s="30" t="s">
        <v>2</v>
      </c>
      <c r="B36" s="30"/>
      <c r="C36" s="30"/>
      <c r="D36" s="87">
        <f>+$B$9*sauðfé!C29</f>
        <v>2506221.3302752296</v>
      </c>
      <c r="E36" s="87">
        <f>+$B$9*sauðfé!D29</f>
        <v>2432425.4587155967</v>
      </c>
      <c r="F36" s="88">
        <f>+$B$9*sauðfé!E29</f>
        <v>2382755.1605504584</v>
      </c>
      <c r="G36" s="88">
        <f>+$B$9*sauðfé!F29</f>
        <v>2375659.4036697247</v>
      </c>
      <c r="H36" s="88">
        <f>+$B$9*sauðfé!G29</f>
        <v>2344438.0733944955</v>
      </c>
      <c r="I36" s="88">
        <f>+$B$9*sauðfé!H29</f>
        <v>2577178.899082569</v>
      </c>
      <c r="J36" s="88">
        <f>+$B$9*sauðfé!I29</f>
        <v>2795728.2110091746</v>
      </c>
      <c r="K36" s="88">
        <f>+$B$9*sauðfé!J29</f>
        <v>3008600.9174311925</v>
      </c>
      <c r="L36" s="88">
        <f>+$B$9*sauðfé!K29</f>
        <v>3218635.321100917</v>
      </c>
      <c r="M36" s="88">
        <f>+$B$9*sauðfé!L29</f>
        <v>3553555.0458715595</v>
      </c>
      <c r="N36" s="88">
        <f>+$B$9*sauðfé!M29</f>
        <v>3522333.7155963304</v>
      </c>
    </row>
    <row r="37" spans="1:14" ht="15">
      <c r="A37" s="30" t="s">
        <v>3</v>
      </c>
      <c r="B37" s="30"/>
      <c r="C37" s="30"/>
      <c r="D37" s="87">
        <f>+$B$6*sauðfé!C30</f>
        <v>0</v>
      </c>
      <c r="E37" s="87">
        <f>+$B$6*sauðfé!D30</f>
        <v>0</v>
      </c>
      <c r="F37" s="88">
        <f>+$B$6*sauðfé!E30</f>
        <v>0</v>
      </c>
      <c r="G37" s="88">
        <f>+$B$6*sauðfé!F30</f>
        <v>0</v>
      </c>
      <c r="H37" s="88">
        <f>+$B$6*sauðfé!G30</f>
        <v>117043.12114989731</v>
      </c>
      <c r="I37" s="88">
        <f>+$B$6*sauðfé!H30</f>
        <v>277207.39219712524</v>
      </c>
      <c r="J37" s="88">
        <f>+$B$6*sauðfé!I30</f>
        <v>437371.6632443532</v>
      </c>
      <c r="K37" s="88">
        <f>+$B$6*sauðfé!J30</f>
        <v>548254.6201232033</v>
      </c>
      <c r="L37" s="88">
        <f>+$B$6*sauðfé!K30</f>
        <v>657905.544147844</v>
      </c>
      <c r="M37" s="88">
        <f>+$B$6*sauðfé!L30</f>
        <v>765092.4024640657</v>
      </c>
      <c r="N37" s="88">
        <f>+$B$6*sauðfé!M30</f>
        <v>1272689.938398357</v>
      </c>
    </row>
    <row r="38" spans="1:14" ht="15">
      <c r="A38" s="30" t="s">
        <v>8</v>
      </c>
      <c r="B38" s="30"/>
      <c r="C38" s="30"/>
      <c r="D38" s="87">
        <f>+$B$6*sauðfé!C31</f>
        <v>563039.0143737167</v>
      </c>
      <c r="E38" s="87">
        <f>+$B$6*sauðfé!D31</f>
        <v>549486.6529774128</v>
      </c>
      <c r="F38" s="88">
        <f>+$B$6*sauðfé!E31</f>
        <v>538398.3572895277</v>
      </c>
      <c r="G38" s="88">
        <f>+$B$6*sauðfé!F31</f>
        <v>537166.3244353184</v>
      </c>
      <c r="H38" s="88">
        <f>+$B$6*sauðfé!G31</f>
        <v>529774.1273100616</v>
      </c>
      <c r="I38" s="88">
        <f>+$B$6*sauðfé!H31</f>
        <v>527310.0616016426</v>
      </c>
      <c r="J38" s="88">
        <f>+$B$6*sauðfé!I31</f>
        <v>522381.9301848049</v>
      </c>
      <c r="K38" s="88">
        <f>+$B$6*sauðfé!J31</f>
        <v>517453.79876796715</v>
      </c>
      <c r="L38" s="88">
        <f>+$B$6*sauðfé!K31</f>
        <v>513757.7002053388</v>
      </c>
      <c r="M38" s="88">
        <f>+$B$6*sauðfé!L31</f>
        <v>508829.568788501</v>
      </c>
      <c r="N38" s="88">
        <f>+$B$6*sauðfé!M31</f>
        <v>503901.4373716633</v>
      </c>
    </row>
    <row r="39" spans="1:14" ht="15">
      <c r="A39" s="30" t="s">
        <v>6</v>
      </c>
      <c r="B39" s="30"/>
      <c r="C39" s="30"/>
      <c r="D39" s="87">
        <f>+IF($B$11=1,sauðfé!C32,0)</f>
        <v>180000</v>
      </c>
      <c r="E39" s="87">
        <f>+IF($B$11=1,sauðfé!D32,0)</f>
        <v>247500</v>
      </c>
      <c r="F39" s="88">
        <f>+IF($B$11=1,sauðfé!E32,0)</f>
        <v>362500</v>
      </c>
      <c r="G39" s="88">
        <f>+IF($B$11=1,sauðfé!F32,0)</f>
        <v>362500</v>
      </c>
      <c r="H39" s="88">
        <f>+IF($B$11=1,sauðfé!G32,0)</f>
        <v>357500</v>
      </c>
      <c r="I39" s="88">
        <f>+IF($B$11=1,sauðfé!H32,0)</f>
        <v>357500</v>
      </c>
      <c r="J39" s="88">
        <f>+IF($B$11=1,sauðfé!I32,0)</f>
        <v>352500</v>
      </c>
      <c r="K39" s="88">
        <f>+IF($B$11=1,sauðfé!J32,0)</f>
        <v>350000</v>
      </c>
      <c r="L39" s="88">
        <f>+IF($B$11=1,sauðfé!K32,0)</f>
        <v>347500</v>
      </c>
      <c r="M39" s="88">
        <f>+IF($B$11=1,sauðfé!L32,0)</f>
        <v>345000</v>
      </c>
      <c r="N39" s="88">
        <f>+IF($B$11=1,sauðfé!M32,0)</f>
        <v>340000</v>
      </c>
    </row>
    <row r="40" spans="1:14" ht="15">
      <c r="A40" s="30" t="s">
        <v>7</v>
      </c>
      <c r="B40" s="30"/>
      <c r="C40" s="30"/>
      <c r="D40" s="87"/>
      <c r="E40" s="87"/>
      <c r="F40" s="88">
        <f>LOOKUP($B$6,sauðfé!$O$3:$O$19,sauðfé!$Q$3:$Q$19)*0.8*sauðfé!E37</f>
        <v>224000</v>
      </c>
      <c r="G40" s="88">
        <f>LOOKUP($B$6,sauðfé!$O$3:$O$19,sauðfé!$Q$3:$Q$19)*sauðfé!F37</f>
        <v>280000</v>
      </c>
      <c r="H40" s="88">
        <f>LOOKUP($B$6,sauðfé!$O$3:$O$19,sauðfé!$Q$3:$Q$19)*sauðfé!G37*0.995</f>
        <v>278600</v>
      </c>
      <c r="I40" s="88">
        <f>LOOKUP($B$6,sauðfé!$O$3:$O$19,sauðfé!$Q$3:$Q$19)*sauðfé!H37*0.99</f>
        <v>277200</v>
      </c>
      <c r="J40" s="88">
        <f>LOOKUP($B$6,sauðfé!$O$3:$O$19,sauðfé!$Q$3:$Q$19)*sauðfé!I37*0.985</f>
        <v>275800</v>
      </c>
      <c r="K40" s="88">
        <f>LOOKUP($B$6,sauðfé!$O$3:$O$19,sauðfé!$Q$3:$Q$19)*sauðfé!J37*0.98</f>
        <v>274400</v>
      </c>
      <c r="L40" s="88">
        <f>LOOKUP($B$6,sauðfé!$O$3:$O$19,sauðfé!$Q$3:$Q$19)*sauðfé!K37*0.975</f>
        <v>273000</v>
      </c>
      <c r="M40" s="88">
        <f>LOOKUP($B$6,sauðfé!$O$3:$O$19,sauðfé!$Q$3:$Q$19)*sauðfé!L37*0.97</f>
        <v>271600</v>
      </c>
      <c r="N40" s="88">
        <f>LOOKUP($B$6,sauðfé!$O$3:$O$19,sauðfé!$Q$3:$Q$19)*sauðfé!M37*0.965</f>
        <v>270200</v>
      </c>
    </row>
    <row r="41" spans="1:14" ht="15">
      <c r="A41" s="141" t="s">
        <v>157</v>
      </c>
      <c r="B41" s="141"/>
      <c r="C41" s="141"/>
      <c r="D41" s="142">
        <f>+IF(SUM(D35:D40)&gt;sauðfé!C9,-SUM(D35:D40)+sauðfé!C9,0)</f>
        <v>0</v>
      </c>
      <c r="E41" s="142">
        <f>+IF(SUM(E35:E40)&gt;sauðfé!D9,-SUM(E35:E40)+sauðfé!D9,0)</f>
        <v>0</v>
      </c>
      <c r="F41" s="143">
        <f>+IF(SUM(F35:F40)&gt;sauðfé!E9,-SUM(F35:F40)+sauðfé!E9,0)</f>
        <v>0</v>
      </c>
      <c r="G41" s="143">
        <f>+IF(SUM(G35:G40)&gt;sauðfé!F9,-SUM(G35:G40)+sauðfé!F9,0)</f>
        <v>0</v>
      </c>
      <c r="H41" s="143">
        <f>+IF(SUM(H35:H40)&gt;sauðfé!G9,-SUM(H35:H40)+sauðfé!G9,0)</f>
        <v>0</v>
      </c>
      <c r="I41" s="143">
        <f>+IF(SUM(I35:I40)&gt;sauðfé!H9,-SUM(I35:I40)+sauðfé!H9,0)</f>
        <v>0</v>
      </c>
      <c r="J41" s="143">
        <f>+IF(SUM(J35:J40)&gt;sauðfé!I9,-SUM(J35:J40)+sauðfé!I9,0)</f>
        <v>0</v>
      </c>
      <c r="K41" s="143">
        <f>+IF(SUM(K35:K40)&gt;sauðfé!J9,-SUM(K35:K40)+sauðfé!J9,0)</f>
        <v>0</v>
      </c>
      <c r="L41" s="143">
        <f>+IF(SUM(L35:L40)&gt;sauðfé!K9,-SUM(L35:L40)+sauðfé!K9,0)</f>
        <v>0</v>
      </c>
      <c r="M41" s="143">
        <f>+IF(SUM(M35:M40)&gt;sauðfé!L9,-SUM(M35:M40)+sauðfé!L9,0)</f>
        <v>0</v>
      </c>
      <c r="N41" s="143">
        <f>+IF(SUM(N35:N40)&gt;sauðfé!M9,-SUM(N35:N40)+sauðfé!M9,0)</f>
        <v>0</v>
      </c>
    </row>
    <row r="42" spans="1:14" ht="15">
      <c r="A42" s="139" t="s">
        <v>171</v>
      </c>
      <c r="B42" s="140"/>
      <c r="C42" s="140"/>
      <c r="D42" s="144">
        <f>+D92</f>
        <v>105428.57142857143</v>
      </c>
      <c r="E42" s="144">
        <f>+E92</f>
        <v>291522.85714285716</v>
      </c>
      <c r="F42" s="144">
        <f aca="true" t="shared" si="0" ref="F42:N42">+F92</f>
        <v>289697.1428571429</v>
      </c>
      <c r="G42" s="144">
        <f t="shared" si="0"/>
        <v>288728.5714285714</v>
      </c>
      <c r="H42" s="144">
        <f t="shared" si="0"/>
        <v>339394.2857142857</v>
      </c>
      <c r="I42" s="144">
        <f t="shared" si="0"/>
        <v>337997.1428571429</v>
      </c>
      <c r="J42" s="144">
        <f t="shared" si="0"/>
        <v>335631.4285714286</v>
      </c>
      <c r="K42" s="144">
        <f t="shared" si="0"/>
        <v>333265.71428571426</v>
      </c>
      <c r="L42" s="144">
        <f t="shared" si="0"/>
        <v>330900</v>
      </c>
      <c r="M42" s="144">
        <f t="shared" si="0"/>
        <v>328534.2857142857</v>
      </c>
      <c r="N42" s="144">
        <f t="shared" si="0"/>
        <v>326168.57142857136</v>
      </c>
    </row>
    <row r="43" spans="1:14" ht="15">
      <c r="A43" s="32" t="s">
        <v>169</v>
      </c>
      <c r="B43" s="33"/>
      <c r="C43" s="33"/>
      <c r="D43" s="90">
        <f>SUM(D35:D42)</f>
        <v>7487488.916077519</v>
      </c>
      <c r="E43" s="90">
        <f>SUM(E35:E42)</f>
        <v>7600740.258256213</v>
      </c>
      <c r="F43" s="90">
        <f aca="true" t="shared" si="1" ref="F43:N43">SUM(F35:F42)</f>
        <v>7488060.393784089</v>
      </c>
      <c r="G43" s="90">
        <f t="shared" si="1"/>
        <v>7433827.110057103</v>
      </c>
      <c r="H43" s="90">
        <f t="shared" si="1"/>
        <v>7131610.534397611</v>
      </c>
      <c r="I43" s="90">
        <f t="shared" si="1"/>
        <v>7016197.824630046</v>
      </c>
      <c r="J43" s="90">
        <f t="shared" si="1"/>
        <v>6866764.85980363</v>
      </c>
      <c r="K43" s="90">
        <f t="shared" si="1"/>
        <v>6734878.615146657</v>
      </c>
      <c r="L43" s="90">
        <f t="shared" si="1"/>
        <v>6606666.127257615</v>
      </c>
      <c r="M43" s="90">
        <f t="shared" si="1"/>
        <v>6459633.582222045</v>
      </c>
      <c r="N43" s="90">
        <f t="shared" si="1"/>
        <v>6235293.662794922</v>
      </c>
    </row>
    <row r="44" spans="1:14" ht="15">
      <c r="A44" s="34" t="s">
        <v>160</v>
      </c>
      <c r="B44" s="35"/>
      <c r="C44" s="35"/>
      <c r="D44" s="36"/>
      <c r="E44" s="37">
        <v>1</v>
      </c>
      <c r="F44" s="37">
        <f>+IF($E$43&gt;0,F43/$E$43,)</f>
        <v>0.9851751460195306</v>
      </c>
      <c r="G44" s="37">
        <f aca="true" t="shared" si="2" ref="G44:N44">+IF($E$43&gt;0,G43/$E$43,)</f>
        <v>0.9780398826261952</v>
      </c>
      <c r="H44" s="37">
        <f t="shared" si="2"/>
        <v>0.9382784165859351</v>
      </c>
      <c r="I44" s="37">
        <f t="shared" si="2"/>
        <v>0.9230940127191934</v>
      </c>
      <c r="J44" s="37">
        <f t="shared" si="2"/>
        <v>0.9034336954673183</v>
      </c>
      <c r="K44" s="37">
        <f t="shared" si="2"/>
        <v>0.886081932326391</v>
      </c>
      <c r="L44" s="37">
        <f t="shared" si="2"/>
        <v>0.8692135111552067</v>
      </c>
      <c r="M44" s="37">
        <f t="shared" si="2"/>
        <v>0.8498690078516163</v>
      </c>
      <c r="N44" s="37">
        <f t="shared" si="2"/>
        <v>0.8203534722847434</v>
      </c>
    </row>
    <row r="45" spans="1:14" ht="15">
      <c r="A45" s="135" t="s">
        <v>168</v>
      </c>
      <c r="B45" s="136"/>
      <c r="C45" s="136"/>
      <c r="D45" s="138">
        <v>1</v>
      </c>
      <c r="E45" s="137">
        <f>IF($D$43&gt;0,E43/$D$43,)</f>
        <v>1.015125410327555</v>
      </c>
      <c r="F45" s="137">
        <f aca="true" t="shared" si="3" ref="F45:N45">IF($D$43&gt;0,F43/$D$43,)</f>
        <v>1.000076324347585</v>
      </c>
      <c r="G45" s="137">
        <f t="shared" si="3"/>
        <v>0.9928331371676304</v>
      </c>
      <c r="H45" s="137">
        <f t="shared" si="3"/>
        <v>0.9524702626382863</v>
      </c>
      <c r="I45" s="137">
        <f t="shared" si="3"/>
        <v>0.9370561884324807</v>
      </c>
      <c r="J45" s="137">
        <f t="shared" si="3"/>
        <v>0.9170985008150011</v>
      </c>
      <c r="K45" s="137">
        <f t="shared" si="3"/>
        <v>0.8994842851366607</v>
      </c>
      <c r="L45" s="137">
        <f t="shared" si="3"/>
        <v>0.8823607221736842</v>
      </c>
      <c r="M45" s="137">
        <f t="shared" si="3"/>
        <v>0.8627236253200442</v>
      </c>
      <c r="N45" s="137">
        <f t="shared" si="3"/>
        <v>0.8327616551666849</v>
      </c>
    </row>
    <row r="46" spans="1:14" ht="15">
      <c r="A46" s="38" t="s">
        <v>110</v>
      </c>
      <c r="B46" s="30"/>
      <c r="C46" s="30"/>
      <c r="D46" s="91">
        <f>+$B$9*sauðfé!C33</f>
        <v>7425000</v>
      </c>
      <c r="E46" s="87">
        <f>+$B$9*sauðfé!D33</f>
        <v>7425000</v>
      </c>
      <c r="F46" s="88">
        <f>+$B$9*sauðfé!E33</f>
        <v>7425000</v>
      </c>
      <c r="G46" s="88">
        <f>+$B$9*sauðfé!F33</f>
        <v>7425000</v>
      </c>
      <c r="H46" s="88">
        <f>+$B$9*sauðfé!G33</f>
        <v>7425000</v>
      </c>
      <c r="I46" s="88">
        <f>+$B$9*sauðfé!H33</f>
        <v>7425000</v>
      </c>
      <c r="J46" s="88">
        <f>+$B$9*sauðfé!I33</f>
        <v>7425000</v>
      </c>
      <c r="K46" s="88">
        <f>+$B$9*sauðfé!J33</f>
        <v>7425000</v>
      </c>
      <c r="L46" s="88">
        <f>+$B$9*sauðfé!K33</f>
        <v>7425000</v>
      </c>
      <c r="M46" s="88">
        <f>+$B$9*sauðfé!L33</f>
        <v>7425000</v>
      </c>
      <c r="N46" s="88">
        <f>+$B$9*sauðfé!M33</f>
        <v>7425000</v>
      </c>
    </row>
    <row r="47" spans="1:14" ht="15">
      <c r="A47" s="38" t="s">
        <v>142</v>
      </c>
      <c r="B47" s="30"/>
      <c r="C47" s="30"/>
      <c r="D47" s="91">
        <f>+$B$6*sauðfé!C34</f>
        <v>180000</v>
      </c>
      <c r="E47" s="91">
        <f>+$B$6*sauðfé!D34</f>
        <v>180000</v>
      </c>
      <c r="F47" s="92">
        <f>+$B$6*sauðfé!E34</f>
        <v>180000</v>
      </c>
      <c r="G47" s="92">
        <f>+$B$6*sauðfé!F34</f>
        <v>180000</v>
      </c>
      <c r="H47" s="92">
        <f>+$B$6*sauðfé!G34</f>
        <v>180000</v>
      </c>
      <c r="I47" s="92">
        <f>+$B$6*sauðfé!H34</f>
        <v>180000</v>
      </c>
      <c r="J47" s="92">
        <f>+$B$6*sauðfé!I34</f>
        <v>180000</v>
      </c>
      <c r="K47" s="92">
        <f>+$B$6*sauðfé!J34</f>
        <v>180000</v>
      </c>
      <c r="L47" s="92">
        <f>+$B$6*sauðfé!K34</f>
        <v>180000</v>
      </c>
      <c r="M47" s="92">
        <f>+$B$6*sauðfé!L34</f>
        <v>180000</v>
      </c>
      <c r="N47" s="92">
        <f>+$B$6*sauðfé!M34</f>
        <v>180000</v>
      </c>
    </row>
    <row r="48" spans="1:14" ht="15">
      <c r="A48" s="38" t="s">
        <v>143</v>
      </c>
      <c r="B48" s="30"/>
      <c r="C48" s="30"/>
      <c r="D48" s="91">
        <f>+$B$10*sauðfé!C35</f>
        <v>270000</v>
      </c>
      <c r="E48" s="91">
        <f>+$B$6*0.1*25*sauðfé!D35</f>
        <v>270000</v>
      </c>
      <c r="F48" s="92">
        <f>+$B$6*0.1*25*sauðfé!E35</f>
        <v>270000</v>
      </c>
      <c r="G48" s="92">
        <f>+$B$6*0.1*25*sauðfé!F35</f>
        <v>270000</v>
      </c>
      <c r="H48" s="92">
        <f>+$B$6*0.1*25*sauðfé!G35</f>
        <v>270000</v>
      </c>
      <c r="I48" s="92">
        <f>+$B$6*0.1*25*sauðfé!H35</f>
        <v>270000</v>
      </c>
      <c r="J48" s="92">
        <f>+$B$6*0.1*25*sauðfé!I35</f>
        <v>270000</v>
      </c>
      <c r="K48" s="92">
        <f>+$B$6*0.1*25*sauðfé!J35</f>
        <v>270000</v>
      </c>
      <c r="L48" s="92">
        <f>+$B$6*0.1*25*sauðfé!K35</f>
        <v>270000</v>
      </c>
      <c r="M48" s="92">
        <f>+$B$6*0.1*25*sauðfé!L35</f>
        <v>270000</v>
      </c>
      <c r="N48" s="92">
        <f>+$B$6*0.1*25*sauðfé!M35</f>
        <v>270000</v>
      </c>
    </row>
    <row r="49" spans="1:14" ht="15">
      <c r="A49" s="32" t="s">
        <v>112</v>
      </c>
      <c r="B49" s="33"/>
      <c r="C49" s="33"/>
      <c r="D49" s="89">
        <f aca="true" t="shared" si="4" ref="D49:N49">SUM(D46:D48)+D43</f>
        <v>15362488.916077519</v>
      </c>
      <c r="E49" s="89">
        <f t="shared" si="4"/>
        <v>15475740.258256212</v>
      </c>
      <c r="F49" s="89">
        <f t="shared" si="4"/>
        <v>15363060.393784089</v>
      </c>
      <c r="G49" s="89">
        <f t="shared" si="4"/>
        <v>15308827.110057104</v>
      </c>
      <c r="H49" s="89">
        <f t="shared" si="4"/>
        <v>15006610.534397611</v>
      </c>
      <c r="I49" s="89">
        <f t="shared" si="4"/>
        <v>14891197.824630046</v>
      </c>
      <c r="J49" s="89">
        <f t="shared" si="4"/>
        <v>14741764.85980363</v>
      </c>
      <c r="K49" s="89">
        <f t="shared" si="4"/>
        <v>14609878.615146657</v>
      </c>
      <c r="L49" s="89">
        <f t="shared" si="4"/>
        <v>14481666.127257615</v>
      </c>
      <c r="M49" s="89">
        <f t="shared" si="4"/>
        <v>14334633.582222044</v>
      </c>
      <c r="N49" s="89">
        <f t="shared" si="4"/>
        <v>14110293.662794922</v>
      </c>
    </row>
    <row r="50" spans="1:14" ht="15">
      <c r="A50" s="34" t="s">
        <v>160</v>
      </c>
      <c r="B50" s="35"/>
      <c r="C50" s="35"/>
      <c r="D50" s="36"/>
      <c r="E50" s="37">
        <v>1</v>
      </c>
      <c r="F50" s="37">
        <f>IF($E$49&gt;0,F49/$E$49,)</f>
        <v>0.9927189354052379</v>
      </c>
      <c r="G50" s="37">
        <f aca="true" t="shared" si="5" ref="G50:N50">IF($E$49&gt;0,G49/$E$49,)</f>
        <v>0.9892145289715586</v>
      </c>
      <c r="H50" s="37">
        <f t="shared" si="5"/>
        <v>0.9696861205971505</v>
      </c>
      <c r="I50" s="37">
        <f t="shared" si="5"/>
        <v>0.9622284670153781</v>
      </c>
      <c r="J50" s="37">
        <f t="shared" si="5"/>
        <v>0.95257251761763</v>
      </c>
      <c r="K50" s="37">
        <f t="shared" si="5"/>
        <v>0.9440503892763629</v>
      </c>
      <c r="L50" s="37">
        <f t="shared" si="5"/>
        <v>0.9357656490474978</v>
      </c>
      <c r="M50" s="37">
        <f t="shared" si="5"/>
        <v>0.9262648082100374</v>
      </c>
      <c r="N50" s="37">
        <f t="shared" si="5"/>
        <v>0.9117685763217154</v>
      </c>
    </row>
    <row r="51" spans="1:14" ht="15">
      <c r="A51" s="135" t="s">
        <v>168</v>
      </c>
      <c r="B51" s="136"/>
      <c r="C51" s="136"/>
      <c r="D51" s="138">
        <v>1</v>
      </c>
      <c r="E51" s="137">
        <f>IF($D$49&gt;0,E49/$D$49,)</f>
        <v>1.0073719397161074</v>
      </c>
      <c r="F51" s="137">
        <f aca="true" t="shared" si="6" ref="F51:N51">IF($D$49&gt;0,F49/$D$49,)</f>
        <v>1.0000371995520838</v>
      </c>
      <c r="G51" s="137">
        <f t="shared" si="6"/>
        <v>0.9965069588454345</v>
      </c>
      <c r="H51" s="137">
        <f t="shared" si="6"/>
        <v>0.976834588221739</v>
      </c>
      <c r="I51" s="137">
        <f t="shared" si="6"/>
        <v>0.9693219572673379</v>
      </c>
      <c r="J51" s="137">
        <f t="shared" si="6"/>
        <v>0.9595948247927278</v>
      </c>
      <c r="K51" s="137">
        <f t="shared" si="6"/>
        <v>0.951009871835076</v>
      </c>
      <c r="L51" s="137">
        <f t="shared" si="6"/>
        <v>0.9426640570006801</v>
      </c>
      <c r="M51" s="137">
        <f t="shared" si="6"/>
        <v>0.9330931765373136</v>
      </c>
      <c r="N51" s="137">
        <f t="shared" si="6"/>
        <v>0.9184900793014001</v>
      </c>
    </row>
    <row r="52" spans="1:14" ht="7.5" customHeight="1">
      <c r="A52" s="39"/>
      <c r="B52" s="39"/>
      <c r="C52" s="39"/>
      <c r="D52" s="39"/>
      <c r="E52" s="39"/>
      <c r="F52" s="39"/>
      <c r="G52" s="39"/>
      <c r="H52" s="39"/>
      <c r="I52" s="39"/>
      <c r="J52" s="39"/>
      <c r="K52" s="39"/>
      <c r="L52" s="39"/>
      <c r="M52" s="39"/>
      <c r="N52" s="39"/>
    </row>
    <row r="53" spans="1:14" ht="16.5" thickBot="1">
      <c r="A53" s="157" t="s">
        <v>125</v>
      </c>
      <c r="B53" s="41"/>
      <c r="C53" s="41"/>
      <c r="D53" s="40">
        <v>2016</v>
      </c>
      <c r="E53" s="40">
        <v>2017</v>
      </c>
      <c r="F53" s="40">
        <v>2018</v>
      </c>
      <c r="G53" s="40">
        <v>2019</v>
      </c>
      <c r="H53" s="40">
        <v>2020</v>
      </c>
      <c r="I53" s="40">
        <v>2021</v>
      </c>
      <c r="J53" s="40">
        <v>2022</v>
      </c>
      <c r="K53" s="40">
        <v>2023</v>
      </c>
      <c r="L53" s="40">
        <v>2024</v>
      </c>
      <c r="M53" s="40">
        <v>2025</v>
      </c>
      <c r="N53" s="40">
        <v>2026</v>
      </c>
    </row>
    <row r="54" spans="1:14" ht="15">
      <c r="A54" s="30" t="s">
        <v>21</v>
      </c>
      <c r="B54" s="30"/>
      <c r="C54" s="30"/>
      <c r="D54" s="87">
        <f>IF($B$14&gt;0,IF($B$15&gt;$B$14*0.8,$B$14*nautgripir!C25,$B$14*nautgripir!C25*($B$15/$B$14)),0)</f>
        <v>12300000</v>
      </c>
      <c r="E54" s="93">
        <f>IF($B$14&gt;0,IF($B$15&gt;$B$14*0.8,$B$14*nautgripir!D25,$B$14*nautgripir!D25*($B$15/$B$14)),0)</f>
        <v>4283823.529411765</v>
      </c>
      <c r="F54" s="93">
        <f>IF($B$14&gt;0,IF($B$15&gt;$B$14*0.8,$B$14*nautgripir!E25,$B$14*nautgripir!E25*($B$15/$B$14)),0)</f>
        <v>4266176.470588235</v>
      </c>
      <c r="G54" s="93">
        <f>IF($B$14&gt;0,IF($B$15&gt;$B$14*0.8,$B$14*nautgripir!F25,$B$14*nautgripir!F25*($B$15/$B$14)),0)</f>
        <v>4250735.294117647</v>
      </c>
      <c r="H54" s="93">
        <f>IF($B$14&gt;0,IF($B$15&gt;$B$14*0.8,$B$14*nautgripir!G25,$B$14*nautgripir!G25*($B$15/$B$14)),0)</f>
        <v>3602205.882352941</v>
      </c>
      <c r="I54" s="93">
        <f>IF($B$14&gt;0,IF($B$15&gt;$B$14*0.8,$B$14*nautgripir!H25,$B$14*nautgripir!H25*($B$15/$B$14)),0)</f>
        <v>2988970.588235294</v>
      </c>
      <c r="J54" s="93">
        <f>IF($B$14&gt;0,IF($B$15&gt;$B$14*0.8,$B$14*nautgripir!I25,$B$14*nautgripir!I25*($B$15/$B$14)),0)</f>
        <v>2369117.6470588236</v>
      </c>
      <c r="K54" s="93">
        <f>IF($B$14&gt;0,IF($B$15&gt;$B$14*0.8,$B$14*nautgripir!J25,$B$14*nautgripir!J25*($B$15/$B$14)),0)</f>
        <v>1760294.1176470588</v>
      </c>
      <c r="L54" s="93">
        <f>IF($B$14&gt;0,IF($B$15&gt;$B$14*0.8,$B$14*nautgripir!K25,$B$14*nautgripir!K25*($B$15/$B$14)),0)</f>
        <v>1162500</v>
      </c>
      <c r="M54" s="93">
        <f>IF($B$14&gt;0,IF($B$15&gt;$B$14*0.8,$B$14*nautgripir!L25,$B$14*nautgripir!L25*($B$15/$B$14)),0)</f>
        <v>573529.4117647059</v>
      </c>
      <c r="N54" s="93">
        <f>IF($B$14&gt;0,IF($B$15&gt;$B$14*0.8,$B$14*nautgripir!M25,$B$14*nautgripir!M25*($B$15/$B$14)),0)</f>
        <v>0</v>
      </c>
    </row>
    <row r="55" spans="1:14" ht="15">
      <c r="A55" s="30" t="s">
        <v>22</v>
      </c>
      <c r="B55" s="30"/>
      <c r="C55" s="30"/>
      <c r="D55" s="87">
        <f>+$B$15*nautgripir!C26</f>
        <v>0</v>
      </c>
      <c r="E55" s="88">
        <f>+$B$15*nautgripir!D26</f>
        <v>6134333.333333334</v>
      </c>
      <c r="F55" s="88">
        <f>+$B$15*nautgripir!E26</f>
        <v>6111000</v>
      </c>
      <c r="G55" s="88">
        <f>+$B$15*nautgripir!F26</f>
        <v>6087666.666666667</v>
      </c>
      <c r="H55" s="88">
        <f>+$B$15*nautgripir!G26</f>
        <v>6272000.000000001</v>
      </c>
      <c r="I55" s="88">
        <f>+$B$15*nautgripir!H26</f>
        <v>6881000</v>
      </c>
      <c r="J55" s="88">
        <f>+$B$15*nautgripir!I26</f>
        <v>7450333.333333333</v>
      </c>
      <c r="K55" s="88">
        <f>+$B$15*nautgripir!J26</f>
        <v>8005666.666666667</v>
      </c>
      <c r="L55" s="88">
        <f>+$B$15*nautgripir!K26</f>
        <v>8551666.666666666</v>
      </c>
      <c r="M55" s="88">
        <f>+$B$15*nautgripir!L26</f>
        <v>9086000</v>
      </c>
      <c r="N55" s="88">
        <f>+$B$15*nautgripir!M26</f>
        <v>9606333.333333332</v>
      </c>
    </row>
    <row r="56" spans="1:14" ht="15">
      <c r="A56" s="30" t="s">
        <v>23</v>
      </c>
      <c r="B56" s="30"/>
      <c r="C56" s="30"/>
      <c r="D56" s="87">
        <f>+IF($B$16&lt;51,$B$16*nautgripir!C27,IF($B$16&lt;101,50*nautgripir!C27+($B$16-50)*nautgripir!C27*0.75,IF($B$16&lt;141,50*nautgripir!C27+50*nautgripir!C27*0.75+($B$16-100)*nautgripir!C27*0.5,IF($B$16&lt;181,50*nautgripir!C27+50*nautgripir!C27*0.75+40*nautgripir!C27*0.5+($B$16-140)*nautgripir!C27*0.25,50*nautgripir!C27+50*nautgripir!C27*0.75+40*nautgripir!C27*0.5+40*nautgripir!C27*0.25))))</f>
        <v>1198625</v>
      </c>
      <c r="E56" s="88">
        <f>+IF($B$16&lt;51,$B$16*nautgripir!D27,IF($B$16&lt;101,50*nautgripir!D27+($B$16-50)*nautgripir!D27*0.75,IF($B$16&lt;141,50*nautgripir!D27+50*nautgripir!D27*0.75+($B$16-100)*nautgripir!D27*0.5,IF($B$16&lt;181,50*nautgripir!D27+50*nautgripir!D27*0.75+40*nautgripir!D27*0.5+($B$16-140)*nautgripir!D27*0.25,50*nautgripir!D27+50*nautgripir!D27*0.75+40*nautgripir!D27*0.5+40*nautgripir!D27*0.25))))</f>
        <v>2339120.3703703703</v>
      </c>
      <c r="F56" s="88">
        <f>+IF($B$16&lt;51,$B$16*nautgripir!E27,IF($B$16&lt;101,50*nautgripir!E27+($B$16-50)*nautgripir!E27*0.75,IF($B$16&lt;141,50*nautgripir!E27+50*nautgripir!E27*0.75+($B$16-100)*nautgripir!E27*0.5,IF($B$16&lt;181,50*nautgripir!E27+50*nautgripir!E27*0.75+40*nautgripir!E27*0.5+($B$16-140)*nautgripir!E27*0.25,50*nautgripir!E27+50*nautgripir!E27*0.75+40*nautgripir!E27*0.5+40*nautgripir!E27*0.25))))</f>
        <v>2331157.4074074076</v>
      </c>
      <c r="G56" s="88">
        <f>+IF($B$16&lt;51,$B$16*nautgripir!F27,IF($B$16&lt;101,50*nautgripir!F27+($B$16-50)*nautgripir!F27*0.75,IF($B$16&lt;141,50*nautgripir!F27+50*nautgripir!F27*0.75+($B$16-100)*nautgripir!F27*0.5,IF($B$16&lt;181,50*nautgripir!F27+50*nautgripir!F27*0.75+40*nautgripir!F27*0.5+($B$16-140)*nautgripir!F27*0.25,50*nautgripir!F27+50*nautgripir!F27*0.75+40*nautgripir!F27*0.5+40*nautgripir!F27*0.25))))</f>
        <v>2321203.703703704</v>
      </c>
      <c r="H56" s="88">
        <f>+IF($B$16&lt;51,$B$16*nautgripir!G27,IF($B$16&lt;101,50*nautgripir!G27+($B$16-50)*nautgripir!G27*0.75,IF($B$16&lt;141,50*nautgripir!G27+50*nautgripir!G27*0.75+($B$16-100)*nautgripir!G27*0.5,IF($B$16&lt;181,50*nautgripir!G27+50*nautgripir!G27*0.75+40*nautgripir!G27*0.5+($B$16-140)*nautgripir!G27*0.25,50*nautgripir!G27+50*nautgripir!G27*0.75+40*nautgripir!G27*0.5+40*nautgripir!G27*0.25))))</f>
        <v>2583981.481481482</v>
      </c>
      <c r="I56" s="88">
        <f>+IF($B$16&lt;51,$B$16*nautgripir!H27,IF($B$16&lt;101,50*nautgripir!H27+($B$16-50)*nautgripir!H27*0.75,IF($B$16&lt;141,50*nautgripir!H27+50*nautgripir!H27*0.75+($B$16-100)*nautgripir!H27*0.5,IF($B$16&lt;181,50*nautgripir!H27+50*nautgripir!H27*0.75+40*nautgripir!H27*0.5+($B$16-140)*nautgripir!H27*0.25,50*nautgripir!H27+50*nautgripir!H27*0.75+40*nautgripir!H27*0.5+40*nautgripir!H27*0.25))))</f>
        <v>2574027.777777778</v>
      </c>
      <c r="J56" s="88">
        <f>+IF($B$16&lt;51,$B$16*nautgripir!I27,IF($B$16&lt;101,50*nautgripir!I27+($B$16-50)*nautgripir!I27*0.75,IF($B$16&lt;141,50*nautgripir!I27+50*nautgripir!I27*0.75+($B$16-100)*nautgripir!I27*0.5,IF($B$16&lt;181,50*nautgripir!I27+50*nautgripir!I27*0.75+40*nautgripir!I27*0.5+($B$16-140)*nautgripir!I27*0.25,50*nautgripir!I27+50*nautgripir!I27*0.75+40*nautgripir!I27*0.5+40*nautgripir!I27*0.25))))</f>
        <v>2552129.6296296297</v>
      </c>
      <c r="K56" s="88">
        <f>+IF($B$16&lt;51,$B$16*nautgripir!J27,IF($B$16&lt;101,50*nautgripir!J27+($B$16-50)*nautgripir!J27*0.75,IF($B$16&lt;141,50*nautgripir!J27+50*nautgripir!J27*0.75+($B$16-100)*nautgripir!J27*0.5,IF($B$16&lt;181,50*nautgripir!J27+50*nautgripir!J27*0.75+40*nautgripir!J27*0.5+($B$16-140)*nautgripir!J27*0.25,50*nautgripir!J27+50*nautgripir!J27*0.75+40*nautgripir!J27*0.5+40*nautgripir!J27*0.25))))</f>
        <v>2530231.481481482</v>
      </c>
      <c r="L56" s="88">
        <f>+IF($B$16&lt;51,$B$16*nautgripir!K27,IF($B$16&lt;101,50*nautgripir!K27+($B$16-50)*nautgripir!K27*0.75,IF($B$16&lt;141,50*nautgripir!K27+50*nautgripir!K27*0.75+($B$16-100)*nautgripir!K27*0.5,IF($B$16&lt;181,50*nautgripir!K27+50*nautgripir!K27*0.75+40*nautgripir!K27*0.5+($B$16-140)*nautgripir!K27*0.25,50*nautgripir!K27+50*nautgripir!K27*0.75+40*nautgripir!K27*0.5+40*nautgripir!K27*0.25))))</f>
        <v>2506342.592592593</v>
      </c>
      <c r="M56" s="88">
        <f>+IF($B$16&lt;51,$B$16*nautgripir!L27,IF($B$16&lt;101,50*nautgripir!L27+($B$16-50)*nautgripir!L27*0.75,IF($B$16&lt;141,50*nautgripir!L27+50*nautgripir!L27*0.75+($B$16-100)*nautgripir!L27*0.5,IF($B$16&lt;181,50*nautgripir!L27+50*nautgripir!L27*0.75+40*nautgripir!L27*0.5+($B$16-140)*nautgripir!L27*0.25,50*nautgripir!L27+50*nautgripir!L27*0.75+40*nautgripir!L27*0.5+40*nautgripir!L27*0.25))))</f>
        <v>2484444.4444444445</v>
      </c>
      <c r="N56" s="88">
        <f>+IF($B$16&lt;51,$B$16*nautgripir!M27,IF($B$16&lt;101,50*nautgripir!M27+($B$16-50)*nautgripir!M27*0.75,IF($B$16&lt;141,50*nautgripir!M27+50*nautgripir!M27*0.75+($B$16-100)*nautgripir!M27*0.5,IF($B$16&lt;181,50*nautgripir!M27+50*nautgripir!M27*0.75+40*nautgripir!M27*0.5+($B$16-140)*nautgripir!M27*0.25,50*nautgripir!M27+50*nautgripir!M27*0.75+40*nautgripir!M27*0.5+40*nautgripir!M27*0.25))))</f>
        <v>2462546.296296296</v>
      </c>
    </row>
    <row r="57" spans="1:14" ht="15">
      <c r="A57" s="30" t="s">
        <v>24</v>
      </c>
      <c r="B57" s="30"/>
      <c r="C57" s="30"/>
      <c r="D57" s="87">
        <f>+IF($B$17&lt;201,$B$17*nautgripir!C28,IF($B$17&lt;221,200*nautgripir!C28+($B$17-200)*nautgripir!C28*0.75,IF($B$17&lt;241,200*nautgripir!C28+20*nautgripir!C28*0.75+($B$17-220)*nautgripir!C28*0.5,IF($B$17&lt;261,200*nautgripir!C28+20*nautgripir!C28*0.75+20*nautgripir!C28*0.5+($B$17-240)*nautgripir!C28*0.25,200*nautgripir!C28+20*nautgripir!C28*0.75+20*nautgripir!C28*0.5+20*nautgripir!C28*0.25))))</f>
        <v>446000</v>
      </c>
      <c r="E57" s="93">
        <f>+IF($B$17&lt;201,$B$17*nautgripir!D28,IF($B$17&lt;221,200*nautgripir!D28+($B$17-200)*nautgripir!D28*0.75,IF($B$17&lt;241,200*nautgripir!D28+20*nautgripir!D28*0.75+($B$17-220)*nautgripir!D28*0.5,IF($B$17&lt;261,200*nautgripir!D28+20*nautgripir!D28*0.75+20*nautgripir!D28*0.5+($B$17-240)*nautgripir!D28*0.25,200*nautgripir!D28+20*nautgripir!D28*0.75+20*nautgripir!D28*0.5+20*nautgripir!D28*0.25))))</f>
        <v>705000</v>
      </c>
      <c r="F57" s="93">
        <f>+IF($B$17&lt;201,$B$17*nautgripir!E28,IF($B$17&lt;221,200*nautgripir!E28+($B$17-200)*nautgripir!E28*0.75,IF($B$17&lt;241,200*nautgripir!E28+20*nautgripir!E28*0.75+($B$17-220)*nautgripir!E28*0.5,IF($B$17&lt;261,200*nautgripir!E28+20*nautgripir!E28*0.75+20*nautgripir!E28*0.5+($B$17-240)*nautgripir!E28*0.25,200*nautgripir!E28+20*nautgripir!E28*0.75+20*nautgripir!E28*0.5+20*nautgripir!E28*0.25))))</f>
        <v>700000</v>
      </c>
      <c r="G57" s="93">
        <f>+IF($B$17&lt;201,$B$17*nautgripir!F28,IF($B$17&lt;221,200*nautgripir!F28+($B$17-200)*nautgripir!F28*0.75,IF($B$17&lt;241,200*nautgripir!F28+20*nautgripir!F28*0.75+($B$17-220)*nautgripir!F28*0.5,IF($B$17&lt;261,200*nautgripir!F28+20*nautgripir!F28*0.75+20*nautgripir!F28*0.5+($B$17-240)*nautgripir!F28*0.25,200*nautgripir!F28+20*nautgripir!F28*0.75+20*nautgripir!F28*0.5+20*nautgripir!F28*0.25))))</f>
        <v>700000</v>
      </c>
      <c r="H57" s="93">
        <f>+IF($B$17&lt;201,$B$17*nautgripir!G28,IF($B$17&lt;221,200*nautgripir!G28+($B$17-200)*nautgripir!G28*0.75,IF($B$17&lt;241,200*nautgripir!G28+20*nautgripir!G28*0.75+($B$17-220)*nautgripir!G28*0.5,IF($B$17&lt;261,200*nautgripir!G28+20*nautgripir!G28*0.75+20*nautgripir!G28*0.5+($B$17-240)*nautgripir!G28*0.25,200*nautgripir!G28+20*nautgripir!G28*0.75+20*nautgripir!G28*0.5+20*nautgripir!G28*0.25))))</f>
        <v>780000</v>
      </c>
      <c r="I57" s="93">
        <f>+IF($B$17&lt;201,$B$17*nautgripir!H28,IF($B$17&lt;221,200*nautgripir!H28+($B$17-200)*nautgripir!H28*0.75,IF($B$17&lt;241,200*nautgripir!H28+20*nautgripir!H28*0.75+($B$17-220)*nautgripir!H28*0.5,IF($B$17&lt;261,200*nautgripir!H28+20*nautgripir!H28*0.75+20*nautgripir!H28*0.5+($B$17-240)*nautgripir!H28*0.25,200*nautgripir!H28+20*nautgripir!H28*0.75+20*nautgripir!H28*0.5+20*nautgripir!H28*0.25))))</f>
        <v>775000</v>
      </c>
      <c r="J57" s="93">
        <f>+IF($B$17&lt;201,$B$17*nautgripir!I28,IF($B$17&lt;221,200*nautgripir!I28+($B$17-200)*nautgripir!I28*0.75,IF($B$17&lt;241,200*nautgripir!I28+20*nautgripir!I28*0.75+($B$17-220)*nautgripir!I28*0.5,IF($B$17&lt;261,200*nautgripir!I28+20*nautgripir!I28*0.75+20*nautgripir!I28*0.5+($B$17-240)*nautgripir!I28*0.25,200*nautgripir!I28+20*nautgripir!I28*0.75+20*nautgripir!I28*0.5+20*nautgripir!I28*0.25))))</f>
        <v>770000</v>
      </c>
      <c r="K57" s="93">
        <f>+IF($B$17&lt;201,$B$17*nautgripir!J28,IF($B$17&lt;221,200*nautgripir!J28+($B$17-200)*nautgripir!J28*0.75,IF($B$17&lt;241,200*nautgripir!J28+20*nautgripir!J28*0.75+($B$17-220)*nautgripir!J28*0.5,IF($B$17&lt;261,200*nautgripir!J28+20*nautgripir!J28*0.75+20*nautgripir!J28*0.5+($B$17-240)*nautgripir!J28*0.25,200*nautgripir!J28+20*nautgripir!J28*0.75+20*nautgripir!J28*0.5+20*nautgripir!J28*0.25))))</f>
        <v>760000</v>
      </c>
      <c r="L57" s="93">
        <f>+IF($B$17&lt;201,$B$17*nautgripir!K28,IF($B$17&lt;221,200*nautgripir!K28+($B$17-200)*nautgripir!K28*0.75,IF($B$17&lt;241,200*nautgripir!K28+20*nautgripir!K28*0.75+($B$17-220)*nautgripir!K28*0.5,IF($B$17&lt;261,200*nautgripir!K28+20*nautgripir!K28*0.75+20*nautgripir!K28*0.5+($B$17-240)*nautgripir!K28*0.25,200*nautgripir!K28+20*nautgripir!K28*0.75+20*nautgripir!K28*0.5+20*nautgripir!K28*0.25))))</f>
        <v>755000</v>
      </c>
      <c r="M57" s="93">
        <f>+IF($B$17&lt;201,$B$17*nautgripir!L28,IF($B$17&lt;221,200*nautgripir!L28+($B$17-200)*nautgripir!L28*0.75,IF($B$17&lt;241,200*nautgripir!L28+20*nautgripir!L28*0.75+($B$17-220)*nautgripir!L28*0.5,IF($B$17&lt;261,200*nautgripir!L28+20*nautgripir!L28*0.75+20*nautgripir!L28*0.5+($B$17-240)*nautgripir!L28*0.25,200*nautgripir!L28+20*nautgripir!L28*0.75+20*nautgripir!L28*0.5+20*nautgripir!L28*0.25))))</f>
        <v>750000</v>
      </c>
      <c r="N57" s="93">
        <f>+IF($B$17&lt;201,$B$17*nautgripir!M28,IF($B$17&lt;221,200*nautgripir!M28+($B$17-200)*nautgripir!M28*0.75,IF($B$17&lt;241,200*nautgripir!M28+20*nautgripir!M28*0.75+($B$17-220)*nautgripir!M28*0.5,IF($B$17&lt;261,200*nautgripir!M28+20*nautgripir!M28*0.75+20*nautgripir!M28*0.5+($B$17-240)*nautgripir!M28*0.25,200*nautgripir!M28+20*nautgripir!M28*0.75+20*nautgripir!M28*0.5+20*nautgripir!M28*0.25))))</f>
        <v>740000</v>
      </c>
    </row>
    <row r="58" spans="1:14" ht="15">
      <c r="A58" s="30" t="s">
        <v>155</v>
      </c>
      <c r="B58" s="30"/>
      <c r="C58" s="30"/>
      <c r="D58" s="87">
        <f>+$B$18*nautgripir!C29</f>
        <v>0</v>
      </c>
      <c r="E58" s="88">
        <f>+$B$18*nautgripir!D29*$F$25</f>
        <v>286322.2222222222</v>
      </c>
      <c r="F58" s="88">
        <f>+$B$18*nautgripir!E29*$F$25</f>
        <v>384377.77777777775</v>
      </c>
      <c r="G58" s="88">
        <f>+$B$18*nautgripir!F29*$F$25</f>
        <v>474588.8888888889</v>
      </c>
      <c r="H58" s="88">
        <f>+$B$18*nautgripir!G29*$F$25</f>
        <v>560877.7777777778</v>
      </c>
      <c r="I58" s="88">
        <f>+$B$18*nautgripir!H29*$F$25</f>
        <v>651088.8888888889</v>
      </c>
      <c r="J58" s="88">
        <f>+$B$18*nautgripir!I29*$F$25</f>
        <v>729533.3333333333</v>
      </c>
      <c r="K58" s="88">
        <f>+$B$18*nautgripir!J29*$F$25</f>
        <v>721688.888888889</v>
      </c>
      <c r="L58" s="88">
        <f>+$B$18*nautgripir!K29*$F$25</f>
        <v>713844.4444444443</v>
      </c>
      <c r="M58" s="88">
        <f>+$B$18*nautgripir!L29*$F$25</f>
        <v>709922.2222222222</v>
      </c>
      <c r="N58" s="88">
        <f>+$B$18*nautgripir!M29*$F$25</f>
        <v>702077.7777777778</v>
      </c>
    </row>
    <row r="59" spans="1:14" ht="15">
      <c r="A59" s="141" t="s">
        <v>156</v>
      </c>
      <c r="B59" s="141"/>
      <c r="C59" s="141"/>
      <c r="D59" s="142">
        <f>+IF(SUM(D54:D58)&gt;nautgripir!C7,nautgripir!C7-SUM(D54:D58),0)</f>
        <v>0</v>
      </c>
      <c r="E59" s="143">
        <f>+IF(SUM(E54:E58)&gt;nautgripir!D7,nautgripir!D7-SUM(E54:E58),0)</f>
        <v>0</v>
      </c>
      <c r="F59" s="143">
        <f>+IF(SUM(F54:F58)&gt;nautgripir!E7,nautgripir!E7-SUM(F54:F58),0)</f>
        <v>0</v>
      </c>
      <c r="G59" s="143">
        <f>+IF(SUM(G54:G58)&gt;nautgripir!F7,nautgripir!F7-SUM(G54:G58),0)</f>
        <v>0</v>
      </c>
      <c r="H59" s="143">
        <f>+IF(SUM(H54:H58)&gt;nautgripir!G7,nautgripir!G7-SUM(H54:H58),0)</f>
        <v>0</v>
      </c>
      <c r="I59" s="143">
        <f>+IF(SUM(I54:I58)&gt;nautgripir!H7,nautgripir!H7-SUM(I54:I58),0)</f>
        <v>0</v>
      </c>
      <c r="J59" s="143">
        <f>+IF(SUM(J54:J58)&gt;nautgripir!I7,nautgripir!I7-SUM(J54:J58),0)</f>
        <v>0</v>
      </c>
      <c r="K59" s="143">
        <f>+IF(SUM(K54:K58)&gt;nautgripir!J7,nautgripir!J7-SUM(K54:K58),0)</f>
        <v>0</v>
      </c>
      <c r="L59" s="143">
        <f>+IF(SUM(L54:L58)&gt;nautgripir!K7,nautgripir!K7-SUM(L54:L58),0)</f>
        <v>0</v>
      </c>
      <c r="M59" s="143">
        <f>+IF(SUM(M54:M58)&gt;nautgripir!L7,nautgripir!L7-SUM(M54:M58),0)</f>
        <v>0</v>
      </c>
      <c r="N59" s="143">
        <f>+IF(SUM(N54:N58)&gt;nautgripir!M7,nautgripir!M7-SUM(N54:N58),0)</f>
        <v>0</v>
      </c>
    </row>
    <row r="60" spans="1:14" ht="15">
      <c r="A60" s="145" t="s">
        <v>172</v>
      </c>
      <c r="B60" s="146"/>
      <c r="C60" s="146"/>
      <c r="D60" s="147">
        <f>+D97</f>
        <v>159900.00000000003</v>
      </c>
      <c r="E60" s="147">
        <f>+E97</f>
        <v>442143</v>
      </c>
      <c r="F60" s="147">
        <f aca="true" t="shared" si="7" ref="F60:N60">+F97</f>
        <v>439374.00000000006</v>
      </c>
      <c r="G60" s="147">
        <f t="shared" si="7"/>
        <v>437905</v>
      </c>
      <c r="H60" s="147">
        <f t="shared" si="7"/>
        <v>514747.99999999994</v>
      </c>
      <c r="I60" s="147">
        <f t="shared" si="7"/>
        <v>512629.00000000006</v>
      </c>
      <c r="J60" s="147">
        <f t="shared" si="7"/>
        <v>509041</v>
      </c>
      <c r="K60" s="147">
        <f t="shared" si="7"/>
        <v>505453</v>
      </c>
      <c r="L60" s="147">
        <f t="shared" si="7"/>
        <v>501865</v>
      </c>
      <c r="M60" s="147">
        <f t="shared" si="7"/>
        <v>498276.99999999994</v>
      </c>
      <c r="N60" s="147">
        <f t="shared" si="7"/>
        <v>494688.99999999994</v>
      </c>
    </row>
    <row r="61" spans="1:14" ht="15.75" thickBot="1">
      <c r="A61" s="40" t="s">
        <v>170</v>
      </c>
      <c r="B61" s="41"/>
      <c r="C61" s="41"/>
      <c r="D61" s="94">
        <f>SUM(D54:D60)</f>
        <v>14104525</v>
      </c>
      <c r="E61" s="94">
        <f aca="true" t="shared" si="8" ref="E61:N61">SUM(E54:E60)</f>
        <v>14190742.45533769</v>
      </c>
      <c r="F61" s="94">
        <f t="shared" si="8"/>
        <v>14232085.655773422</v>
      </c>
      <c r="G61" s="94">
        <f t="shared" si="8"/>
        <v>14272099.553376906</v>
      </c>
      <c r="H61" s="94">
        <f t="shared" si="8"/>
        <v>14313813.141612202</v>
      </c>
      <c r="I61" s="94">
        <f t="shared" si="8"/>
        <v>14382716.25490196</v>
      </c>
      <c r="J61" s="94">
        <f t="shared" si="8"/>
        <v>14380154.943355119</v>
      </c>
      <c r="K61" s="94">
        <f t="shared" si="8"/>
        <v>14283334.154684097</v>
      </c>
      <c r="L61" s="94">
        <f t="shared" si="8"/>
        <v>14191218.703703703</v>
      </c>
      <c r="M61" s="94">
        <f t="shared" si="8"/>
        <v>14102173.078431372</v>
      </c>
      <c r="N61" s="94">
        <f t="shared" si="8"/>
        <v>14005646.407407407</v>
      </c>
    </row>
    <row r="62" spans="1:14" ht="15">
      <c r="A62" s="42" t="s">
        <v>160</v>
      </c>
      <c r="B62" s="43"/>
      <c r="C62" s="43"/>
      <c r="D62" s="44"/>
      <c r="E62" s="45">
        <v>1</v>
      </c>
      <c r="F62" s="45">
        <f>IF($E$61&gt;0,F61/$E$61,)</f>
        <v>1.0029133923447522</v>
      </c>
      <c r="G62" s="45">
        <f aca="true" t="shared" si="9" ref="G62:N62">IF($E$61&gt;0,G61/$E$61,)</f>
        <v>1.0057331107442242</v>
      </c>
      <c r="H62" s="45">
        <f t="shared" si="9"/>
        <v>1.008672603752894</v>
      </c>
      <c r="I62" s="45">
        <f t="shared" si="9"/>
        <v>1.0135281011665505</v>
      </c>
      <c r="J62" s="45">
        <f t="shared" si="9"/>
        <v>1.0133476094442249</v>
      </c>
      <c r="K62" s="45">
        <f t="shared" si="9"/>
        <v>1.0065247959814518</v>
      </c>
      <c r="L62" s="45">
        <f t="shared" si="9"/>
        <v>1.0000335604967472</v>
      </c>
      <c r="M62" s="45">
        <f t="shared" si="9"/>
        <v>0.9937586509525438</v>
      </c>
      <c r="N62" s="45">
        <f t="shared" si="9"/>
        <v>0.9869565635122451</v>
      </c>
    </row>
    <row r="63" spans="1:14" ht="15">
      <c r="A63" s="148" t="s">
        <v>168</v>
      </c>
      <c r="B63" s="149"/>
      <c r="C63" s="149"/>
      <c r="D63" s="151">
        <v>1</v>
      </c>
      <c r="E63" s="150">
        <f>IF($D$61&gt;0,E61/$D$61,)</f>
        <v>1.00611275142819</v>
      </c>
      <c r="F63" s="150">
        <f aca="true" t="shared" si="10" ref="F63:N63">IF($D$61&gt;0,F61/$D$61,)</f>
        <v>1.0090439526161583</v>
      </c>
      <c r="G63" s="150">
        <f t="shared" si="10"/>
        <v>1.011880907253304</v>
      </c>
      <c r="H63" s="150">
        <f t="shared" si="10"/>
        <v>1.0148383686520603</v>
      </c>
      <c r="I63" s="150">
        <f t="shared" si="10"/>
        <v>1.019723546514467</v>
      </c>
      <c r="J63" s="150">
        <f t="shared" si="10"/>
        <v>1.019541951491108</v>
      </c>
      <c r="K63" s="150">
        <f t="shared" si="10"/>
        <v>1.012677431865596</v>
      </c>
      <c r="L63" s="150">
        <f t="shared" si="10"/>
        <v>1.0061465170719115</v>
      </c>
      <c r="M63" s="150">
        <f t="shared" si="10"/>
        <v>0.99983325056543</v>
      </c>
      <c r="N63" s="150">
        <f t="shared" si="10"/>
        <v>0.992989583655416</v>
      </c>
    </row>
    <row r="64" spans="1:14" ht="15">
      <c r="A64" s="30" t="s">
        <v>116</v>
      </c>
      <c r="B64" s="30"/>
      <c r="C64" s="30"/>
      <c r="D64" s="87">
        <f>+$B$14*nautgripir!C30</f>
        <v>25317000</v>
      </c>
      <c r="E64" s="88">
        <f>+$B$14*nautgripir!D30</f>
        <v>25317000</v>
      </c>
      <c r="F64" s="88">
        <f>+$B$14*nautgripir!E30</f>
        <v>25317000</v>
      </c>
      <c r="G64" s="88">
        <f>+$B$14*nautgripir!F30</f>
        <v>25317000</v>
      </c>
      <c r="H64" s="88">
        <f>+$B$14*nautgripir!G30</f>
        <v>25317000</v>
      </c>
      <c r="I64" s="88">
        <f>+$B$14*nautgripir!H30</f>
        <v>25317000</v>
      </c>
      <c r="J64" s="88">
        <f>+$B$14*nautgripir!I30</f>
        <v>25317000</v>
      </c>
      <c r="K64" s="88">
        <f>+$B$14*nautgripir!J30</f>
        <v>25317000</v>
      </c>
      <c r="L64" s="88">
        <f>+$B$14*nautgripir!K30</f>
        <v>25317000</v>
      </c>
      <c r="M64" s="88">
        <f>+$B$14*nautgripir!L30</f>
        <v>25317000</v>
      </c>
      <c r="N64" s="88">
        <f>+$B$14*nautgripir!M30</f>
        <v>25317000</v>
      </c>
    </row>
    <row r="65" spans="1:14" ht="15">
      <c r="A65" s="30" t="s">
        <v>117</v>
      </c>
      <c r="B65" s="30"/>
      <c r="C65" s="30"/>
      <c r="D65" s="87">
        <f>IF($B$15&gt;$B$14,($B$15-$B$14)*nautgripir!C31,0)</f>
        <v>4219500</v>
      </c>
      <c r="E65" s="93">
        <f>IF($B$15&gt;$B$14,($B$15-$B$14)*nautgripir!D31,0)</f>
        <v>2000000</v>
      </c>
      <c r="F65" s="93">
        <f>IF($B$15&gt;$B$14,($B$15-$B$14)*nautgripir!E31,0)</f>
        <v>2000000</v>
      </c>
      <c r="G65" s="93">
        <f>IF($B$15&gt;$B$14,($B$15-$B$14)*nautgripir!F31,0)</f>
        <v>2000000</v>
      </c>
      <c r="H65" s="93">
        <f>IF($B$15&gt;$B$14,($B$15-$B$14)*nautgripir!G31,0)</f>
        <v>2000000</v>
      </c>
      <c r="I65" s="93">
        <f>IF($B$15&gt;$B$14,($B$15-$B$14)*nautgripir!H31,0)</f>
        <v>2000000</v>
      </c>
      <c r="J65" s="93">
        <f>IF($B$15&gt;$B$14,($B$15-$B$14)*nautgripir!I31,0)</f>
        <v>2000000</v>
      </c>
      <c r="K65" s="93">
        <f>IF($B$15&gt;$B$14,($B$15-$B$14)*nautgripir!J31,0)</f>
        <v>2000000</v>
      </c>
      <c r="L65" s="93">
        <f>IF($B$15&gt;$B$14,($B$15-$B$14)*nautgripir!K31,0)</f>
        <v>2000000</v>
      </c>
      <c r="M65" s="93">
        <f>IF($B$15&gt;$B$14,($B$15-$B$14)*nautgripir!L31,0)</f>
        <v>2000000</v>
      </c>
      <c r="N65" s="93">
        <f>IF($B$15&gt;$B$14,($B$15-$B$14)*nautgripir!M31,0)</f>
        <v>2000000</v>
      </c>
    </row>
    <row r="66" spans="1:14" ht="15">
      <c r="A66" s="30" t="s">
        <v>138</v>
      </c>
      <c r="B66" s="30"/>
      <c r="C66" s="30"/>
      <c r="D66" s="87">
        <f>+$B$18*nautgripir!C32</f>
        <v>6442250</v>
      </c>
      <c r="E66" s="88">
        <f>+$B$18*nautgripir!D32</f>
        <v>6442250</v>
      </c>
      <c r="F66" s="88">
        <f>+$B$18*nautgripir!E32</f>
        <v>6442250</v>
      </c>
      <c r="G66" s="88">
        <f>+$B$18*nautgripir!F32</f>
        <v>6442250</v>
      </c>
      <c r="H66" s="88">
        <f>+$B$18*nautgripir!G32</f>
        <v>6442250</v>
      </c>
      <c r="I66" s="88">
        <f>+$B$18*nautgripir!H32</f>
        <v>6442250</v>
      </c>
      <c r="J66" s="88">
        <f>+$B$18*nautgripir!I32</f>
        <v>6442250</v>
      </c>
      <c r="K66" s="88">
        <f>+$B$18*nautgripir!J32</f>
        <v>6442250</v>
      </c>
      <c r="L66" s="88">
        <f>+$B$18*nautgripir!K32</f>
        <v>6442250</v>
      </c>
      <c r="M66" s="88">
        <f>+$B$18*nautgripir!L32</f>
        <v>6442250</v>
      </c>
      <c r="N66" s="88">
        <f>+$B$18*nautgripir!M32</f>
        <v>6442250</v>
      </c>
    </row>
    <row r="67" spans="1:14" ht="15">
      <c r="A67" s="30" t="s">
        <v>139</v>
      </c>
      <c r="B67" s="30"/>
      <c r="C67" s="30"/>
      <c r="D67" s="87">
        <f>+$B$19*nautgripir!C33</f>
        <v>1638000</v>
      </c>
      <c r="E67" s="88">
        <f>+$B$19*nautgripir!D33</f>
        <v>1638000</v>
      </c>
      <c r="F67" s="88">
        <f>+$B$19*nautgripir!E33</f>
        <v>1638000</v>
      </c>
      <c r="G67" s="88">
        <f>+$B$19*nautgripir!F33</f>
        <v>1638000</v>
      </c>
      <c r="H67" s="88">
        <f>+$B$19*nautgripir!G33</f>
        <v>1638000</v>
      </c>
      <c r="I67" s="88">
        <f>+$B$19*nautgripir!H33</f>
        <v>1638000</v>
      </c>
      <c r="J67" s="88">
        <f>+$B$19*nautgripir!I33</f>
        <v>1638000</v>
      </c>
      <c r="K67" s="88">
        <f>+$B$19*nautgripir!J33</f>
        <v>1638000</v>
      </c>
      <c r="L67" s="88">
        <f>+$B$19*nautgripir!K33</f>
        <v>1638000</v>
      </c>
      <c r="M67" s="88">
        <f>+$B$19*nautgripir!L33</f>
        <v>1638000</v>
      </c>
      <c r="N67" s="88">
        <f>+$B$19*nautgripir!M33</f>
        <v>1638000</v>
      </c>
    </row>
    <row r="68" spans="1:14" ht="15">
      <c r="A68" s="46" t="s">
        <v>118</v>
      </c>
      <c r="B68" s="47"/>
      <c r="C68" s="47"/>
      <c r="D68" s="95">
        <f>SUM(D64:D67)+D61</f>
        <v>51721275</v>
      </c>
      <c r="E68" s="95">
        <f aca="true" t="shared" si="11" ref="E68:N68">SUM(E64:E67)+E61</f>
        <v>49587992.45533769</v>
      </c>
      <c r="F68" s="95">
        <f t="shared" si="11"/>
        <v>49629335.65577342</v>
      </c>
      <c r="G68" s="95">
        <f t="shared" si="11"/>
        <v>49669349.553376906</v>
      </c>
      <c r="H68" s="95">
        <f t="shared" si="11"/>
        <v>49711063.1416122</v>
      </c>
      <c r="I68" s="95">
        <f t="shared" si="11"/>
        <v>49779966.25490196</v>
      </c>
      <c r="J68" s="95">
        <f t="shared" si="11"/>
        <v>49777404.94335512</v>
      </c>
      <c r="K68" s="95">
        <f t="shared" si="11"/>
        <v>49680584.1546841</v>
      </c>
      <c r="L68" s="95">
        <f t="shared" si="11"/>
        <v>49588468.7037037</v>
      </c>
      <c r="M68" s="95">
        <f t="shared" si="11"/>
        <v>49499423.07843137</v>
      </c>
      <c r="N68" s="95">
        <f t="shared" si="11"/>
        <v>49402896.4074074</v>
      </c>
    </row>
    <row r="69" spans="1:14" ht="15">
      <c r="A69" s="42" t="s">
        <v>160</v>
      </c>
      <c r="B69" s="43"/>
      <c r="C69" s="43"/>
      <c r="D69" s="44"/>
      <c r="E69" s="45">
        <v>1</v>
      </c>
      <c r="F69" s="45">
        <f>IF($E$68&gt;0,F68/$E$68,)</f>
        <v>1.0008337341035327</v>
      </c>
      <c r="G69" s="45">
        <f aca="true" t="shared" si="12" ref="G69:N69">IF($E$68&gt;0,G68/$E$68,)</f>
        <v>1.0016406612571076</v>
      </c>
      <c r="H69" s="45">
        <f t="shared" si="12"/>
        <v>1.002481864664825</v>
      </c>
      <c r="I69" s="45">
        <f t="shared" si="12"/>
        <v>1.0038713767196197</v>
      </c>
      <c r="J69" s="45">
        <f t="shared" si="12"/>
        <v>1.0038197248696452</v>
      </c>
      <c r="K69" s="45">
        <f t="shared" si="12"/>
        <v>1.0018672201628207</v>
      </c>
      <c r="L69" s="45">
        <f t="shared" si="12"/>
        <v>1.000009604106608</v>
      </c>
      <c r="M69" s="45">
        <f t="shared" si="12"/>
        <v>0.9982138946845631</v>
      </c>
      <c r="N69" s="45">
        <f t="shared" si="12"/>
        <v>0.9962673212048866</v>
      </c>
    </row>
    <row r="70" spans="1:14" ht="15">
      <c r="A70" s="148" t="s">
        <v>168</v>
      </c>
      <c r="B70" s="149"/>
      <c r="C70" s="149"/>
      <c r="D70" s="151">
        <v>1</v>
      </c>
      <c r="E70" s="150">
        <f>IF($D$68&gt;0,E68/$D$68,)</f>
        <v>0.9587542545178496</v>
      </c>
      <c r="F70" s="150">
        <f aca="true" t="shared" si="13" ref="F70:N70">IF($D$68&gt;0,F68/$D$68,)</f>
        <v>0.9595536006367481</v>
      </c>
      <c r="G70" s="150">
        <f t="shared" si="13"/>
        <v>0.960327245478324</v>
      </c>
      <c r="H70" s="150">
        <f t="shared" si="13"/>
        <v>0.9611337528243881</v>
      </c>
      <c r="I70" s="150">
        <f t="shared" si="13"/>
        <v>0.9624659534186263</v>
      </c>
      <c r="J70" s="150">
        <f t="shared" si="13"/>
        <v>0.9624164319877095</v>
      </c>
      <c r="K70" s="150">
        <f t="shared" si="13"/>
        <v>0.9605444597930755</v>
      </c>
      <c r="L70" s="150">
        <f t="shared" si="13"/>
        <v>0.9587634624959207</v>
      </c>
      <c r="M70" s="150">
        <f t="shared" si="13"/>
        <v>0.9570418184476576</v>
      </c>
      <c r="N70" s="150">
        <f t="shared" si="13"/>
        <v>0.955175532842286</v>
      </c>
    </row>
    <row r="71" spans="1:14" ht="7.5" customHeight="1">
      <c r="A71" s="39"/>
      <c r="B71" s="39"/>
      <c r="C71" s="39"/>
      <c r="D71" s="39"/>
      <c r="E71" s="39"/>
      <c r="F71" s="39"/>
      <c r="G71" s="39"/>
      <c r="H71" s="39"/>
      <c r="I71" s="39"/>
      <c r="J71" s="39"/>
      <c r="K71" s="39"/>
      <c r="L71" s="39"/>
      <c r="M71" s="39"/>
      <c r="N71" s="39"/>
    </row>
    <row r="72" spans="1:14" ht="16.5" thickBot="1">
      <c r="A72" s="158" t="s">
        <v>175</v>
      </c>
      <c r="B72" s="49"/>
      <c r="C72" s="49"/>
      <c r="D72" s="48">
        <v>2016</v>
      </c>
      <c r="E72" s="48">
        <v>2017</v>
      </c>
      <c r="F72" s="48">
        <v>2018</v>
      </c>
      <c r="G72" s="48">
        <v>2019</v>
      </c>
      <c r="H72" s="48">
        <v>2020</v>
      </c>
      <c r="I72" s="48">
        <v>2021</v>
      </c>
      <c r="J72" s="48">
        <v>2022</v>
      </c>
      <c r="K72" s="48">
        <v>2023</v>
      </c>
      <c r="L72" s="48">
        <v>2024</v>
      </c>
      <c r="M72" s="48">
        <v>2025</v>
      </c>
      <c r="N72" s="48">
        <v>2026</v>
      </c>
    </row>
    <row r="73" spans="1:14" ht="15">
      <c r="A73" s="30" t="s">
        <v>140</v>
      </c>
      <c r="B73" s="30"/>
      <c r="C73" s="30"/>
      <c r="D73" s="91">
        <f>+$B$24*Rammi!C22</f>
        <v>265328.5714285715</v>
      </c>
      <c r="E73" s="96">
        <f>+$B$24*Rammi!D22</f>
        <v>397992.85714285716</v>
      </c>
      <c r="F73" s="96">
        <f>+$B$24*Rammi!E22</f>
        <v>394757.1428571429</v>
      </c>
      <c r="G73" s="96">
        <f>+$B$24*Rammi!F22</f>
        <v>393678.5714285715</v>
      </c>
      <c r="H73" s="96">
        <f>+$B$24*Rammi!G22</f>
        <v>389364.28571428574</v>
      </c>
      <c r="I73" s="96">
        <f>+$B$24*Rammi!H22</f>
        <v>387207.1428571429</v>
      </c>
      <c r="J73" s="96">
        <f>+$B$24*Rammi!I22</f>
        <v>383971.4285714286</v>
      </c>
      <c r="K73" s="96">
        <f>+$B$24*Rammi!J22</f>
        <v>380735.7142857143</v>
      </c>
      <c r="L73" s="96">
        <f>+$B$24*Rammi!K22</f>
        <v>377500.00000000006</v>
      </c>
      <c r="M73" s="96">
        <f>+$B$24*Rammi!L22</f>
        <v>374264.28571428574</v>
      </c>
      <c r="N73" s="96">
        <f>+$B$24*Rammi!M22</f>
        <v>371028.5714285714</v>
      </c>
    </row>
    <row r="74" spans="1:14" ht="15">
      <c r="A74" s="30" t="s">
        <v>141</v>
      </c>
      <c r="B74" s="30"/>
      <c r="C74" s="30"/>
      <c r="D74" s="87">
        <f>+$B$25*Rammi!C23</f>
        <v>0</v>
      </c>
      <c r="E74" s="88">
        <f>+$B$25*Rammi!D23</f>
        <v>335673</v>
      </c>
      <c r="F74" s="88">
        <f>+$B$25*Rammi!E23</f>
        <v>334314</v>
      </c>
      <c r="G74" s="88">
        <f>+$B$25*Rammi!F23</f>
        <v>332955</v>
      </c>
      <c r="H74" s="88">
        <f>+$B$25*Rammi!G23</f>
        <v>464778</v>
      </c>
      <c r="I74" s="88">
        <f>+$B$25*Rammi!H23</f>
        <v>463419</v>
      </c>
      <c r="J74" s="88">
        <f>+$B$25*Rammi!I23</f>
        <v>460701</v>
      </c>
      <c r="K74" s="88">
        <f>+$B$25*Rammi!J23</f>
        <v>457983</v>
      </c>
      <c r="L74" s="88">
        <f>+$B$25*Rammi!K23</f>
        <v>455265</v>
      </c>
      <c r="M74" s="88">
        <f>+$B$25*Rammi!L23</f>
        <v>452547</v>
      </c>
      <c r="N74" s="88">
        <f>+$B$25*Rammi!M23</f>
        <v>449829</v>
      </c>
    </row>
    <row r="75" spans="1:14" ht="15">
      <c r="A75" s="51" t="s">
        <v>94</v>
      </c>
      <c r="B75" s="52"/>
      <c r="C75" s="52"/>
      <c r="D75" s="97">
        <f>SUM(D73:D74)</f>
        <v>265328.5714285715</v>
      </c>
      <c r="E75" s="97">
        <f aca="true" t="shared" si="14" ref="E75:M75">SUM(E73:E74)</f>
        <v>733665.8571428572</v>
      </c>
      <c r="F75" s="97">
        <f t="shared" si="14"/>
        <v>729071.142857143</v>
      </c>
      <c r="G75" s="97">
        <f t="shared" si="14"/>
        <v>726633.5714285715</v>
      </c>
      <c r="H75" s="97">
        <f t="shared" si="14"/>
        <v>854142.2857142857</v>
      </c>
      <c r="I75" s="97">
        <f t="shared" si="14"/>
        <v>850626.142857143</v>
      </c>
      <c r="J75" s="97">
        <f t="shared" si="14"/>
        <v>844672.4285714286</v>
      </c>
      <c r="K75" s="97">
        <f t="shared" si="14"/>
        <v>838718.7142857143</v>
      </c>
      <c r="L75" s="97">
        <f t="shared" si="14"/>
        <v>832765</v>
      </c>
      <c r="M75" s="97">
        <f t="shared" si="14"/>
        <v>826811.2857142857</v>
      </c>
      <c r="N75" s="97">
        <f>SUM(N73:N74)</f>
        <v>820857.5714285714</v>
      </c>
    </row>
    <row r="76" spans="1:14" ht="15">
      <c r="A76" s="53" t="s">
        <v>160</v>
      </c>
      <c r="B76" s="54"/>
      <c r="C76" s="54"/>
      <c r="D76" s="55"/>
      <c r="E76" s="56">
        <v>1</v>
      </c>
      <c r="F76" s="56">
        <f>IF($E$75&gt;0,F75/$E$75,)</f>
        <v>0.9937373202787335</v>
      </c>
      <c r="G76" s="56">
        <f aca="true" t="shared" si="15" ref="G76:N76">IF($E$75&gt;0,G75/$E$75,)</f>
        <v>0.9904148657787187</v>
      </c>
      <c r="H76" s="56">
        <f t="shared" si="15"/>
        <v>1.1642115786069211</v>
      </c>
      <c r="I76" s="56">
        <f t="shared" si="15"/>
        <v>1.1594190114962808</v>
      </c>
      <c r="J76" s="56">
        <f t="shared" si="15"/>
        <v>1.1513039898856252</v>
      </c>
      <c r="K76" s="56">
        <f t="shared" si="15"/>
        <v>1.1431889682749699</v>
      </c>
      <c r="L76" s="56">
        <f t="shared" si="15"/>
        <v>1.1350739466643145</v>
      </c>
      <c r="M76" s="56">
        <f t="shared" si="15"/>
        <v>1.1269589250536591</v>
      </c>
      <c r="N76" s="56">
        <f t="shared" si="15"/>
        <v>1.1188439034430036</v>
      </c>
    </row>
    <row r="77" spans="1:14" ht="6.75" customHeight="1">
      <c r="A77" s="39"/>
      <c r="B77" s="39"/>
      <c r="C77" s="39"/>
      <c r="D77" s="39"/>
      <c r="E77" s="39"/>
      <c r="F77" s="39"/>
      <c r="G77" s="39"/>
      <c r="H77" s="39"/>
      <c r="I77" s="39"/>
      <c r="J77" s="39"/>
      <c r="K77" s="39"/>
      <c r="L77" s="39"/>
      <c r="M77" s="39"/>
      <c r="N77" s="39"/>
    </row>
    <row r="78" spans="1:14" ht="15.75" thickBot="1">
      <c r="A78" s="57" t="s">
        <v>95</v>
      </c>
      <c r="B78" s="58"/>
      <c r="C78" s="58"/>
      <c r="D78" s="98">
        <f>+D43+D61</f>
        <v>21592013.916077517</v>
      </c>
      <c r="E78" s="98">
        <f aca="true" t="shared" si="16" ref="E78:N78">+E43+E61</f>
        <v>21791482.713593904</v>
      </c>
      <c r="F78" s="98">
        <f t="shared" si="16"/>
        <v>21720146.04955751</v>
      </c>
      <c r="G78" s="98">
        <f t="shared" si="16"/>
        <v>21705926.66343401</v>
      </c>
      <c r="H78" s="98">
        <f t="shared" si="16"/>
        <v>21445423.67600981</v>
      </c>
      <c r="I78" s="98">
        <f t="shared" si="16"/>
        <v>21398914.079532005</v>
      </c>
      <c r="J78" s="98">
        <f t="shared" si="16"/>
        <v>21246919.80315875</v>
      </c>
      <c r="K78" s="98">
        <f t="shared" si="16"/>
        <v>21018212.769830756</v>
      </c>
      <c r="L78" s="98">
        <f t="shared" si="16"/>
        <v>20797884.830961317</v>
      </c>
      <c r="M78" s="98">
        <f t="shared" si="16"/>
        <v>20561806.660653416</v>
      </c>
      <c r="N78" s="98">
        <f t="shared" si="16"/>
        <v>20240940.07020233</v>
      </c>
    </row>
    <row r="79" spans="1:14" ht="15">
      <c r="A79" s="59" t="s">
        <v>160</v>
      </c>
      <c r="B79" s="60"/>
      <c r="C79" s="60"/>
      <c r="D79" s="61"/>
      <c r="E79" s="62">
        <v>1</v>
      </c>
      <c r="F79" s="62">
        <f>IF($E$78&gt;0,F78/$E$78,)</f>
        <v>0.9967263969609607</v>
      </c>
      <c r="G79" s="62">
        <f aca="true" t="shared" si="17" ref="G79:N79">IF($E$78&gt;0,G78/$E$78,)</f>
        <v>0.9960738766019569</v>
      </c>
      <c r="H79" s="62">
        <f t="shared" si="17"/>
        <v>0.9841195277011502</v>
      </c>
      <c r="I79" s="62">
        <f t="shared" si="17"/>
        <v>0.9819852260985891</v>
      </c>
      <c r="J79" s="62">
        <f t="shared" si="17"/>
        <v>0.9750102864686924</v>
      </c>
      <c r="K79" s="62">
        <f t="shared" si="17"/>
        <v>0.9645150376444661</v>
      </c>
      <c r="L79" s="62">
        <f t="shared" si="17"/>
        <v>0.9544043011808112</v>
      </c>
      <c r="M79" s="62">
        <f t="shared" si="17"/>
        <v>0.9435707946493519</v>
      </c>
      <c r="N79" s="62">
        <f t="shared" si="17"/>
        <v>0.9288463908688361</v>
      </c>
    </row>
    <row r="80" spans="1:14" ht="15">
      <c r="A80" s="152" t="s">
        <v>174</v>
      </c>
      <c r="B80" s="154"/>
      <c r="C80" s="154"/>
      <c r="D80" s="155">
        <v>1</v>
      </c>
      <c r="E80" s="153">
        <f>+IF($D$78&gt;0,E78/$D$78,)</f>
        <v>1.0092380821118248</v>
      </c>
      <c r="F80" s="153">
        <f aca="true" t="shared" si="18" ref="F80:N80">+IF($D$78&gt;0,F78/$D$78,)</f>
        <v>1.0059342372591094</v>
      </c>
      <c r="G80" s="153">
        <f t="shared" si="18"/>
        <v>1.0052756888634493</v>
      </c>
      <c r="H80" s="153">
        <f t="shared" si="18"/>
        <v>0.9932109047059036</v>
      </c>
      <c r="I80" s="153">
        <f t="shared" si="18"/>
        <v>0.9910568862498866</v>
      </c>
      <c r="J80" s="153">
        <f t="shared" si="18"/>
        <v>0.9840175115549639</v>
      </c>
      <c r="K80" s="153">
        <f t="shared" si="18"/>
        <v>0.9734253067603154</v>
      </c>
      <c r="L80" s="153">
        <f t="shared" si="18"/>
        <v>0.9632211664829983</v>
      </c>
      <c r="M80" s="153">
        <f t="shared" si="18"/>
        <v>0.9522875791286424</v>
      </c>
      <c r="N80" s="153">
        <f t="shared" si="18"/>
        <v>0.9374271500969544</v>
      </c>
    </row>
    <row r="81" spans="1:14" ht="15">
      <c r="A81" s="198" t="s">
        <v>173</v>
      </c>
      <c r="B81" s="198"/>
      <c r="C81" s="198"/>
      <c r="D81" s="199"/>
      <c r="E81" s="200">
        <f>+Rammi!D42</f>
        <v>1</v>
      </c>
      <c r="F81" s="200">
        <f>+Rammi!E42</f>
        <v>0.9894759761939323</v>
      </c>
      <c r="G81" s="200">
        <f>+Rammi!F42</f>
        <v>0.986427638263899</v>
      </c>
      <c r="H81" s="200">
        <f>+Rammi!G42</f>
        <v>0.9728552765277979</v>
      </c>
      <c r="I81" s="200">
        <f>+Rammi!H42</f>
        <v>0.9661779648715343</v>
      </c>
      <c r="J81" s="200">
        <f>+Rammi!I42</f>
        <v>0.9551458847437945</v>
      </c>
      <c r="K81" s="200">
        <f>+Rammi!J42</f>
        <v>0.9457831325301205</v>
      </c>
      <c r="L81" s="200">
        <f>+Rammi!K42</f>
        <v>0.9369284366381188</v>
      </c>
      <c r="M81" s="200">
        <f>+Rammi!L42</f>
        <v>0.9279285817970678</v>
      </c>
      <c r="N81" s="200">
        <f>+Rammi!M42</f>
        <v>0.9186384090579184</v>
      </c>
    </row>
    <row r="82" spans="1:14" ht="15">
      <c r="A82" s="30" t="s">
        <v>121</v>
      </c>
      <c r="B82" s="30"/>
      <c r="C82" s="30"/>
      <c r="D82" s="91">
        <f aca="true" t="shared" si="19" ref="D82:N82">+D46+D47+D48+D64+D65+D66+D67</f>
        <v>45491750</v>
      </c>
      <c r="E82" s="92">
        <f t="shared" si="19"/>
        <v>43272250</v>
      </c>
      <c r="F82" s="92">
        <f t="shared" si="19"/>
        <v>43272250</v>
      </c>
      <c r="G82" s="92">
        <f t="shared" si="19"/>
        <v>43272250</v>
      </c>
      <c r="H82" s="92">
        <f t="shared" si="19"/>
        <v>43272250</v>
      </c>
      <c r="I82" s="92">
        <f t="shared" si="19"/>
        <v>43272250</v>
      </c>
      <c r="J82" s="92">
        <f t="shared" si="19"/>
        <v>43272250</v>
      </c>
      <c r="K82" s="92">
        <f t="shared" si="19"/>
        <v>43272250</v>
      </c>
      <c r="L82" s="92">
        <f t="shared" si="19"/>
        <v>43272250</v>
      </c>
      <c r="M82" s="92">
        <f t="shared" si="19"/>
        <v>43272250</v>
      </c>
      <c r="N82" s="92">
        <f t="shared" si="19"/>
        <v>43272250</v>
      </c>
    </row>
    <row r="83" spans="1:14" ht="15">
      <c r="A83" s="63" t="s">
        <v>122</v>
      </c>
      <c r="B83" s="64"/>
      <c r="C83" s="64"/>
      <c r="D83" s="99">
        <f aca="true" t="shared" si="20" ref="D83:N83">+D78+D82</f>
        <v>67083763.91607752</v>
      </c>
      <c r="E83" s="99">
        <f t="shared" si="20"/>
        <v>65063732.7135939</v>
      </c>
      <c r="F83" s="99">
        <f t="shared" si="20"/>
        <v>64992396.04955751</v>
      </c>
      <c r="G83" s="99">
        <f t="shared" si="20"/>
        <v>64978176.66343401</v>
      </c>
      <c r="H83" s="99">
        <f t="shared" si="20"/>
        <v>64717673.67600981</v>
      </c>
      <c r="I83" s="99">
        <f t="shared" si="20"/>
        <v>64671164.079532005</v>
      </c>
      <c r="J83" s="99">
        <f t="shared" si="20"/>
        <v>64519169.803158745</v>
      </c>
      <c r="K83" s="99">
        <f t="shared" si="20"/>
        <v>64290462.769830756</v>
      </c>
      <c r="L83" s="99">
        <f t="shared" si="20"/>
        <v>64070134.83096132</v>
      </c>
      <c r="M83" s="99">
        <f t="shared" si="20"/>
        <v>63834056.66065341</v>
      </c>
      <c r="N83" s="99">
        <f t="shared" si="20"/>
        <v>63513190.07020233</v>
      </c>
    </row>
    <row r="84" spans="1:14" ht="15">
      <c r="A84" s="59" t="s">
        <v>160</v>
      </c>
      <c r="B84" s="60"/>
      <c r="C84" s="60"/>
      <c r="D84" s="61"/>
      <c r="E84" s="62">
        <v>1</v>
      </c>
      <c r="F84" s="62">
        <f>IF($E$83&gt;0,F83/$E$83,)</f>
        <v>0.9989035878966488</v>
      </c>
      <c r="G84" s="62">
        <f aca="true" t="shared" si="21" ref="G84:N84">IF($E$83&gt;0,G83/$E$83,)</f>
        <v>0.9986850423947163</v>
      </c>
      <c r="H84" s="62">
        <f t="shared" si="21"/>
        <v>0.994681229877981</v>
      </c>
      <c r="I84" s="62">
        <f t="shared" si="21"/>
        <v>0.9939663985189728</v>
      </c>
      <c r="J84" s="62">
        <f t="shared" si="21"/>
        <v>0.991630315573312</v>
      </c>
      <c r="K84" s="62">
        <f t="shared" si="21"/>
        <v>0.9881151924196077</v>
      </c>
      <c r="L84" s="62">
        <f t="shared" si="21"/>
        <v>0.9847288521393888</v>
      </c>
      <c r="M84" s="62">
        <f t="shared" si="21"/>
        <v>0.9811004379605235</v>
      </c>
      <c r="N84" s="62">
        <f t="shared" si="21"/>
        <v>0.9761688643008394</v>
      </c>
    </row>
    <row r="85" spans="1:14" ht="15">
      <c r="A85" s="152" t="s">
        <v>174</v>
      </c>
      <c r="B85" s="154"/>
      <c r="C85" s="154"/>
      <c r="D85" s="155">
        <v>1</v>
      </c>
      <c r="E85" s="153">
        <f>+IF($D$83&gt;0,E83/$D$83,)</f>
        <v>0.9698879269056713</v>
      </c>
      <c r="F85" s="153">
        <f aca="true" t="shared" si="22" ref="F85:N85">+IF($D$83&gt;0,F83/$D$83,)</f>
        <v>0.9688245300437177</v>
      </c>
      <c r="G85" s="153">
        <f t="shared" si="22"/>
        <v>0.9686125653999138</v>
      </c>
      <c r="H85" s="153">
        <f t="shared" si="22"/>
        <v>0.9647293159783386</v>
      </c>
      <c r="I85" s="153">
        <f t="shared" si="22"/>
        <v>0.9640360096734629</v>
      </c>
      <c r="J85" s="153">
        <f t="shared" si="22"/>
        <v>0.9617702710282162</v>
      </c>
      <c r="K85" s="153">
        <f t="shared" si="22"/>
        <v>0.9583609955198518</v>
      </c>
      <c r="L85" s="153">
        <f t="shared" si="22"/>
        <v>0.955076624965673</v>
      </c>
      <c r="M85" s="153">
        <f t="shared" si="22"/>
        <v>0.9515574698597783</v>
      </c>
      <c r="N85" s="153">
        <f t="shared" si="22"/>
        <v>0.9467743961066046</v>
      </c>
    </row>
    <row r="86" spans="1:14" ht="15">
      <c r="A86" s="30"/>
      <c r="B86" s="30"/>
      <c r="C86" s="30"/>
      <c r="D86" s="30"/>
      <c r="E86" s="30"/>
      <c r="F86" s="30"/>
      <c r="G86" s="30"/>
      <c r="H86" s="30"/>
      <c r="I86" s="30"/>
      <c r="J86" s="30"/>
      <c r="K86" s="30"/>
      <c r="L86" s="30"/>
      <c r="M86" s="30"/>
      <c r="N86" s="30"/>
    </row>
    <row r="87" spans="1:14" ht="27.75" customHeight="1">
      <c r="A87" s="83" t="s">
        <v>147</v>
      </c>
      <c r="B87" s="79"/>
      <c r="C87" s="79"/>
      <c r="D87" s="79"/>
      <c r="E87" s="79"/>
      <c r="F87" s="79"/>
      <c r="G87" s="79"/>
      <c r="H87" s="79"/>
      <c r="I87" s="79"/>
      <c r="J87" s="79"/>
      <c r="K87" s="79"/>
      <c r="L87" s="79"/>
      <c r="M87" s="79"/>
      <c r="N87" s="79"/>
    </row>
    <row r="88" spans="1:14" ht="15">
      <c r="A88" s="30"/>
      <c r="B88" s="30"/>
      <c r="C88" s="30"/>
      <c r="D88" s="30"/>
      <c r="E88" s="30"/>
      <c r="F88" s="30"/>
      <c r="G88" s="30"/>
      <c r="H88" s="30"/>
      <c r="I88" s="30"/>
      <c r="J88" s="30"/>
      <c r="K88" s="30"/>
      <c r="L88" s="30"/>
      <c r="M88" s="30"/>
      <c r="N88" s="30"/>
    </row>
    <row r="89" spans="1:14" ht="15">
      <c r="A89" s="81" t="s">
        <v>150</v>
      </c>
      <c r="B89" s="30"/>
      <c r="C89" s="30"/>
      <c r="D89" s="30"/>
      <c r="E89" s="30"/>
      <c r="F89" s="30"/>
      <c r="G89" s="30"/>
      <c r="H89" s="30"/>
      <c r="I89" s="30"/>
      <c r="J89" s="30"/>
      <c r="K89" s="30"/>
      <c r="L89" s="30"/>
      <c r="M89" s="30"/>
      <c r="N89" s="30"/>
    </row>
    <row r="90" spans="1:14" ht="15">
      <c r="A90" s="39"/>
      <c r="B90" s="30"/>
      <c r="C90" s="30"/>
      <c r="D90" s="66">
        <f aca="true" t="shared" si="23" ref="D90:N90">+D72</f>
        <v>2016</v>
      </c>
      <c r="E90" s="66">
        <f t="shared" si="23"/>
        <v>2017</v>
      </c>
      <c r="F90" s="66">
        <f t="shared" si="23"/>
        <v>2018</v>
      </c>
      <c r="G90" s="66">
        <f t="shared" si="23"/>
        <v>2019</v>
      </c>
      <c r="H90" s="66">
        <f t="shared" si="23"/>
        <v>2020</v>
      </c>
      <c r="I90" s="66">
        <f t="shared" si="23"/>
        <v>2021</v>
      </c>
      <c r="J90" s="66">
        <f t="shared" si="23"/>
        <v>2022</v>
      </c>
      <c r="K90" s="66">
        <f t="shared" si="23"/>
        <v>2023</v>
      </c>
      <c r="L90" s="66">
        <f t="shared" si="23"/>
        <v>2024</v>
      </c>
      <c r="M90" s="66">
        <f t="shared" si="23"/>
        <v>2025</v>
      </c>
      <c r="N90" s="66">
        <f t="shared" si="23"/>
        <v>2026</v>
      </c>
    </row>
    <row r="91" spans="1:14" ht="15">
      <c r="A91" s="81" t="s">
        <v>11</v>
      </c>
      <c r="B91" s="30"/>
      <c r="C91" s="84" t="s">
        <v>11</v>
      </c>
      <c r="D91" s="252">
        <f>+D43-D92</f>
        <v>7382060.344648947</v>
      </c>
      <c r="E91" s="252">
        <f aca="true" t="shared" si="24" ref="E91:N91">+E43-E92</f>
        <v>7309217.4011133555</v>
      </c>
      <c r="F91" s="252">
        <f t="shared" si="24"/>
        <v>7198363.250926946</v>
      </c>
      <c r="G91" s="252">
        <f t="shared" si="24"/>
        <v>7145098.538628532</v>
      </c>
      <c r="H91" s="252">
        <f t="shared" si="24"/>
        <v>6792216.248683326</v>
      </c>
      <c r="I91" s="252">
        <f t="shared" si="24"/>
        <v>6678200.681772904</v>
      </c>
      <c r="J91" s="252">
        <f t="shared" si="24"/>
        <v>6531133.431232202</v>
      </c>
      <c r="K91" s="252">
        <f t="shared" si="24"/>
        <v>6401612.900860943</v>
      </c>
      <c r="L91" s="252">
        <f t="shared" si="24"/>
        <v>6275766.127257615</v>
      </c>
      <c r="M91" s="252">
        <f t="shared" si="24"/>
        <v>6131099.29650776</v>
      </c>
      <c r="N91" s="252">
        <f t="shared" si="24"/>
        <v>5909125.091366351</v>
      </c>
    </row>
    <row r="92" spans="1:14" ht="15">
      <c r="A92" s="81" t="s">
        <v>152</v>
      </c>
      <c r="B92" s="70">
        <f>+(B6/14)/(B6/14+B16+B17)</f>
        <v>0.3973509933774834</v>
      </c>
      <c r="C92" s="84" t="s">
        <v>152</v>
      </c>
      <c r="D92" s="253">
        <f aca="true" t="shared" si="25" ref="D92:N92">+D75*$B$92</f>
        <v>105428.57142857143</v>
      </c>
      <c r="E92" s="253">
        <f t="shared" si="25"/>
        <v>291522.85714285716</v>
      </c>
      <c r="F92" s="253">
        <f t="shared" si="25"/>
        <v>289697.1428571429</v>
      </c>
      <c r="G92" s="253">
        <f t="shared" si="25"/>
        <v>288728.5714285714</v>
      </c>
      <c r="H92" s="253">
        <f t="shared" si="25"/>
        <v>339394.2857142857</v>
      </c>
      <c r="I92" s="253">
        <f t="shared" si="25"/>
        <v>337997.1428571429</v>
      </c>
      <c r="J92" s="253">
        <f t="shared" si="25"/>
        <v>335631.4285714286</v>
      </c>
      <c r="K92" s="253">
        <f t="shared" si="25"/>
        <v>333265.71428571426</v>
      </c>
      <c r="L92" s="253">
        <f t="shared" si="25"/>
        <v>330900</v>
      </c>
      <c r="M92" s="253">
        <f t="shared" si="25"/>
        <v>328534.2857142857</v>
      </c>
      <c r="N92" s="253">
        <f t="shared" si="25"/>
        <v>326168.57142857136</v>
      </c>
    </row>
    <row r="93" spans="1:14" ht="15">
      <c r="A93" s="81" t="s">
        <v>148</v>
      </c>
      <c r="B93" s="30"/>
      <c r="C93" s="84" t="s">
        <v>148</v>
      </c>
      <c r="D93" s="252">
        <f aca="true" t="shared" si="26" ref="D93:N93">+SUM(D46:D48)</f>
        <v>7875000</v>
      </c>
      <c r="E93" s="252">
        <f t="shared" si="26"/>
        <v>7875000</v>
      </c>
      <c r="F93" s="252">
        <f t="shared" si="26"/>
        <v>7875000</v>
      </c>
      <c r="G93" s="252">
        <f t="shared" si="26"/>
        <v>7875000</v>
      </c>
      <c r="H93" s="252">
        <f t="shared" si="26"/>
        <v>7875000</v>
      </c>
      <c r="I93" s="252">
        <f t="shared" si="26"/>
        <v>7875000</v>
      </c>
      <c r="J93" s="252">
        <f t="shared" si="26"/>
        <v>7875000</v>
      </c>
      <c r="K93" s="252">
        <f t="shared" si="26"/>
        <v>7875000</v>
      </c>
      <c r="L93" s="252">
        <f t="shared" si="26"/>
        <v>7875000</v>
      </c>
      <c r="M93" s="252">
        <f t="shared" si="26"/>
        <v>7875000</v>
      </c>
      <c r="N93" s="252">
        <f t="shared" si="26"/>
        <v>7875000</v>
      </c>
    </row>
    <row r="94" spans="1:14" ht="15">
      <c r="A94" s="39"/>
      <c r="B94" s="30"/>
      <c r="C94" s="254"/>
      <c r="D94" s="30"/>
      <c r="E94" s="30"/>
      <c r="F94" s="30"/>
      <c r="G94" s="30"/>
      <c r="H94" s="30"/>
      <c r="I94" s="30"/>
      <c r="J94" s="30"/>
      <c r="K94" s="30"/>
      <c r="L94" s="30"/>
      <c r="M94" s="30"/>
      <c r="N94" s="30"/>
    </row>
    <row r="95" spans="1:14" ht="15">
      <c r="A95" s="39"/>
      <c r="B95" s="30"/>
      <c r="C95" s="254"/>
      <c r="D95" s="66">
        <f aca="true" t="shared" si="27" ref="D95:N95">+D72</f>
        <v>2016</v>
      </c>
      <c r="E95" s="66">
        <f t="shared" si="27"/>
        <v>2017</v>
      </c>
      <c r="F95" s="66">
        <f t="shared" si="27"/>
        <v>2018</v>
      </c>
      <c r="G95" s="66">
        <f t="shared" si="27"/>
        <v>2019</v>
      </c>
      <c r="H95" s="66">
        <f t="shared" si="27"/>
        <v>2020</v>
      </c>
      <c r="I95" s="66">
        <f t="shared" si="27"/>
        <v>2021</v>
      </c>
      <c r="J95" s="66">
        <f t="shared" si="27"/>
        <v>2022</v>
      </c>
      <c r="K95" s="66">
        <f t="shared" si="27"/>
        <v>2023</v>
      </c>
      <c r="L95" s="66">
        <f t="shared" si="27"/>
        <v>2024</v>
      </c>
      <c r="M95" s="66">
        <f t="shared" si="27"/>
        <v>2025</v>
      </c>
      <c r="N95" s="66">
        <f t="shared" si="27"/>
        <v>2026</v>
      </c>
    </row>
    <row r="96" spans="1:14" ht="15">
      <c r="A96" s="81" t="s">
        <v>93</v>
      </c>
      <c r="B96" s="30"/>
      <c r="C96" s="84" t="s">
        <v>93</v>
      </c>
      <c r="D96" s="252">
        <f>+D61-D97</f>
        <v>13944625</v>
      </c>
      <c r="E96" s="252">
        <f aca="true" t="shared" si="28" ref="E96:N96">+E61-E97</f>
        <v>13748599.45533769</v>
      </c>
      <c r="F96" s="252">
        <f t="shared" si="28"/>
        <v>13792711.655773422</v>
      </c>
      <c r="G96" s="252">
        <f t="shared" si="28"/>
        <v>13834194.553376906</v>
      </c>
      <c r="H96" s="252">
        <f t="shared" si="28"/>
        <v>13799065.141612202</v>
      </c>
      <c r="I96" s="252">
        <f t="shared" si="28"/>
        <v>13870087.25490196</v>
      </c>
      <c r="J96" s="252">
        <f t="shared" si="28"/>
        <v>13871113.943355119</v>
      </c>
      <c r="K96" s="252">
        <f t="shared" si="28"/>
        <v>13777881.154684097</v>
      </c>
      <c r="L96" s="252">
        <f t="shared" si="28"/>
        <v>13689353.703703703</v>
      </c>
      <c r="M96" s="252">
        <f t="shared" si="28"/>
        <v>13603896.078431372</v>
      </c>
      <c r="N96" s="252">
        <f t="shared" si="28"/>
        <v>13510957.407407407</v>
      </c>
    </row>
    <row r="97" spans="1:14" ht="15">
      <c r="A97" s="81" t="s">
        <v>151</v>
      </c>
      <c r="B97" s="71">
        <f>1-B92</f>
        <v>0.6026490066225165</v>
      </c>
      <c r="C97" s="84" t="s">
        <v>151</v>
      </c>
      <c r="D97" s="253">
        <f aca="true" t="shared" si="29" ref="D97:N97">+D75*$B$97</f>
        <v>159900.00000000003</v>
      </c>
      <c r="E97" s="253">
        <f t="shared" si="29"/>
        <v>442143</v>
      </c>
      <c r="F97" s="253">
        <f t="shared" si="29"/>
        <v>439374.00000000006</v>
      </c>
      <c r="G97" s="253">
        <f t="shared" si="29"/>
        <v>437905</v>
      </c>
      <c r="H97" s="253">
        <f t="shared" si="29"/>
        <v>514747.99999999994</v>
      </c>
      <c r="I97" s="253">
        <f t="shared" si="29"/>
        <v>512629.00000000006</v>
      </c>
      <c r="J97" s="253">
        <f t="shared" si="29"/>
        <v>509041</v>
      </c>
      <c r="K97" s="253">
        <f t="shared" si="29"/>
        <v>505453</v>
      </c>
      <c r="L97" s="253">
        <f t="shared" si="29"/>
        <v>501865</v>
      </c>
      <c r="M97" s="253">
        <f t="shared" si="29"/>
        <v>498276.99999999994</v>
      </c>
      <c r="N97" s="253">
        <f t="shared" si="29"/>
        <v>494688.99999999994</v>
      </c>
    </row>
    <row r="98" spans="1:14" ht="15">
      <c r="A98" s="81" t="s">
        <v>149</v>
      </c>
      <c r="B98" s="30"/>
      <c r="C98" s="84" t="s">
        <v>149</v>
      </c>
      <c r="D98" s="252">
        <f aca="true" t="shared" si="30" ref="D98:N98">+SUM(D64:D67)</f>
        <v>37616750</v>
      </c>
      <c r="E98" s="252">
        <f t="shared" si="30"/>
        <v>35397250</v>
      </c>
      <c r="F98" s="252">
        <f t="shared" si="30"/>
        <v>35397250</v>
      </c>
      <c r="G98" s="252">
        <f t="shared" si="30"/>
        <v>35397250</v>
      </c>
      <c r="H98" s="252">
        <f t="shared" si="30"/>
        <v>35397250</v>
      </c>
      <c r="I98" s="252">
        <f t="shared" si="30"/>
        <v>35397250</v>
      </c>
      <c r="J98" s="252">
        <f t="shared" si="30"/>
        <v>35397250</v>
      </c>
      <c r="K98" s="252">
        <f t="shared" si="30"/>
        <v>35397250</v>
      </c>
      <c r="L98" s="252">
        <f t="shared" si="30"/>
        <v>35397250</v>
      </c>
      <c r="M98" s="252">
        <f t="shared" si="30"/>
        <v>35397250</v>
      </c>
      <c r="N98" s="252">
        <f t="shared" si="30"/>
        <v>35397250</v>
      </c>
    </row>
    <row r="99" spans="1:14" ht="15">
      <c r="A99" s="39"/>
      <c r="B99" s="30"/>
      <c r="C99" s="254"/>
      <c r="D99" s="30"/>
      <c r="E99" s="30"/>
      <c r="F99" s="30"/>
      <c r="G99" s="30"/>
      <c r="H99" s="30"/>
      <c r="I99" s="30"/>
      <c r="J99" s="30"/>
      <c r="K99" s="30"/>
      <c r="L99" s="30"/>
      <c r="M99" s="30"/>
      <c r="N99" s="30"/>
    </row>
    <row r="100" spans="1:14" ht="15">
      <c r="A100" s="39"/>
      <c r="B100" s="30"/>
      <c r="C100" s="254"/>
      <c r="D100" s="66">
        <f aca="true" t="shared" si="31" ref="D100:N100">+D72</f>
        <v>2016</v>
      </c>
      <c r="E100" s="66">
        <f t="shared" si="31"/>
        <v>2017</v>
      </c>
      <c r="F100" s="66">
        <f t="shared" si="31"/>
        <v>2018</v>
      </c>
      <c r="G100" s="66">
        <f t="shared" si="31"/>
        <v>2019</v>
      </c>
      <c r="H100" s="66">
        <f t="shared" si="31"/>
        <v>2020</v>
      </c>
      <c r="I100" s="66">
        <f t="shared" si="31"/>
        <v>2021</v>
      </c>
      <c r="J100" s="66">
        <f t="shared" si="31"/>
        <v>2022</v>
      </c>
      <c r="K100" s="66">
        <f t="shared" si="31"/>
        <v>2023</v>
      </c>
      <c r="L100" s="66">
        <f t="shared" si="31"/>
        <v>2024</v>
      </c>
      <c r="M100" s="66">
        <f t="shared" si="31"/>
        <v>2025</v>
      </c>
      <c r="N100" s="66">
        <f t="shared" si="31"/>
        <v>2026</v>
      </c>
    </row>
    <row r="101" spans="1:14" ht="15">
      <c r="A101" s="81" t="s">
        <v>153</v>
      </c>
      <c r="B101" s="30"/>
      <c r="C101" s="86" t="s">
        <v>95</v>
      </c>
      <c r="D101" s="252">
        <f aca="true" t="shared" si="32" ref="D101:N101">+D78</f>
        <v>21592013.916077517</v>
      </c>
      <c r="E101" s="252">
        <f t="shared" si="32"/>
        <v>21791482.713593904</v>
      </c>
      <c r="F101" s="252">
        <f t="shared" si="32"/>
        <v>21720146.04955751</v>
      </c>
      <c r="G101" s="252">
        <f t="shared" si="32"/>
        <v>21705926.66343401</v>
      </c>
      <c r="H101" s="252">
        <f t="shared" si="32"/>
        <v>21445423.67600981</v>
      </c>
      <c r="I101" s="252">
        <f t="shared" si="32"/>
        <v>21398914.079532005</v>
      </c>
      <c r="J101" s="252">
        <f t="shared" si="32"/>
        <v>21246919.80315875</v>
      </c>
      <c r="K101" s="252">
        <f t="shared" si="32"/>
        <v>21018212.769830756</v>
      </c>
      <c r="L101" s="252">
        <f t="shared" si="32"/>
        <v>20797884.830961317</v>
      </c>
      <c r="M101" s="252">
        <f t="shared" si="32"/>
        <v>20561806.660653416</v>
      </c>
      <c r="N101" s="252">
        <f t="shared" si="32"/>
        <v>20240940.07020233</v>
      </c>
    </row>
    <row r="102" spans="1:14" ht="15">
      <c r="A102" s="81" t="s">
        <v>121</v>
      </c>
      <c r="B102" s="30"/>
      <c r="C102" s="86" t="s">
        <v>121</v>
      </c>
      <c r="D102" s="253">
        <f>+D82</f>
        <v>45491750</v>
      </c>
      <c r="E102" s="253">
        <f aca="true" t="shared" si="33" ref="E102:N102">+E82</f>
        <v>43272250</v>
      </c>
      <c r="F102" s="253">
        <f t="shared" si="33"/>
        <v>43272250</v>
      </c>
      <c r="G102" s="253">
        <f t="shared" si="33"/>
        <v>43272250</v>
      </c>
      <c r="H102" s="253">
        <f t="shared" si="33"/>
        <v>43272250</v>
      </c>
      <c r="I102" s="253">
        <f t="shared" si="33"/>
        <v>43272250</v>
      </c>
      <c r="J102" s="253">
        <f t="shared" si="33"/>
        <v>43272250</v>
      </c>
      <c r="K102" s="253">
        <f t="shared" si="33"/>
        <v>43272250</v>
      </c>
      <c r="L102" s="253">
        <f t="shared" si="33"/>
        <v>43272250</v>
      </c>
      <c r="M102" s="253">
        <f t="shared" si="33"/>
        <v>43272250</v>
      </c>
      <c r="N102" s="253">
        <f t="shared" si="33"/>
        <v>43272250</v>
      </c>
    </row>
  </sheetData>
  <sheetProtection password="F3A3" sheet="1" objects="1" scenarios="1" selectLockedCells="1"/>
  <mergeCells count="3">
    <mergeCell ref="C24:D24"/>
    <mergeCell ref="C25:D25"/>
    <mergeCell ref="G20:J20"/>
  </mergeCells>
  <printOptions/>
  <pageMargins left="0.45" right="0.26" top="0.42" bottom="0.33" header="0.3" footer="0.3"/>
  <pageSetup fitToHeight="0" fitToWidth="1" horizontalDpi="600" verticalDpi="600" orientation="landscape" paperSize="9" scale="63" r:id="rId2"/>
  <rowBreaks count="2" manualBreakCount="2">
    <brk id="31" max="255" man="1"/>
    <brk id="85" max="255" man="1"/>
  </rowBreaks>
  <drawing r:id="rId1"/>
</worksheet>
</file>

<file path=xl/worksheets/sheet2.xml><?xml version="1.0" encoding="utf-8"?>
<worksheet xmlns="http://schemas.openxmlformats.org/spreadsheetml/2006/main" xmlns:r="http://schemas.openxmlformats.org/officeDocument/2006/relationships">
  <dimension ref="A1:Q37"/>
  <sheetViews>
    <sheetView zoomScale="80" zoomScaleNormal="80" zoomScalePageLayoutView="0" workbookViewId="0" topLeftCell="A11">
      <selection activeCell="M28" sqref="M28"/>
    </sheetView>
  </sheetViews>
  <sheetFormatPr defaultColWidth="9.140625" defaultRowHeight="15"/>
  <cols>
    <col min="2" max="2" width="24.8515625" style="0" customWidth="1"/>
    <col min="3" max="3" width="15.140625" style="0" bestFit="1" customWidth="1"/>
    <col min="4" max="13" width="14.140625" style="0" bestFit="1" customWidth="1"/>
    <col min="17" max="17" width="11.421875" style="0" bestFit="1" customWidth="1"/>
  </cols>
  <sheetData>
    <row r="1" spans="1:15" ht="15">
      <c r="A1" s="1" t="s">
        <v>0</v>
      </c>
      <c r="C1" s="1" t="s">
        <v>30</v>
      </c>
      <c r="O1" t="s">
        <v>4</v>
      </c>
    </row>
    <row r="2" spans="1:17" ht="15">
      <c r="A2" t="s">
        <v>103</v>
      </c>
      <c r="B2" t="s">
        <v>15</v>
      </c>
      <c r="C2" s="31">
        <v>368547</v>
      </c>
      <c r="D2" s="31">
        <v>368547</v>
      </c>
      <c r="E2" s="31">
        <v>368547</v>
      </c>
      <c r="F2" s="31">
        <v>368547</v>
      </c>
      <c r="G2" s="31">
        <v>368547</v>
      </c>
      <c r="H2" s="31">
        <v>368547</v>
      </c>
      <c r="I2" s="31">
        <v>368547</v>
      </c>
      <c r="J2" s="31">
        <v>368547</v>
      </c>
      <c r="K2" s="31">
        <v>368547</v>
      </c>
      <c r="L2" s="31">
        <v>368547</v>
      </c>
      <c r="M2" s="31">
        <v>368547</v>
      </c>
      <c r="O2" t="s">
        <v>71</v>
      </c>
      <c r="P2" t="s">
        <v>72</v>
      </c>
      <c r="Q2" t="s">
        <v>73</v>
      </c>
    </row>
    <row r="3" spans="1:17" ht="15">
      <c r="A3" s="6">
        <f>+'Blandað bú'!D9</f>
        <v>0</v>
      </c>
      <c r="B3" t="s">
        <v>16</v>
      </c>
      <c r="C3" s="31">
        <f>+'Blandað bú'!F23*1000</f>
        <v>8720000</v>
      </c>
      <c r="D3" s="31">
        <f>+C3*(1+$A$3)</f>
        <v>8720000</v>
      </c>
      <c r="E3" s="31">
        <f aca="true" t="shared" si="0" ref="E3:M3">+D3*(1+$A$3)</f>
        <v>8720000</v>
      </c>
      <c r="F3" s="31">
        <f t="shared" si="0"/>
        <v>8720000</v>
      </c>
      <c r="G3" s="31">
        <f t="shared" si="0"/>
        <v>8720000</v>
      </c>
      <c r="H3" s="31">
        <f t="shared" si="0"/>
        <v>8720000</v>
      </c>
      <c r="I3" s="31">
        <f t="shared" si="0"/>
        <v>8720000</v>
      </c>
      <c r="J3" s="31">
        <f t="shared" si="0"/>
        <v>8720000</v>
      </c>
      <c r="K3" s="31">
        <f t="shared" si="0"/>
        <v>8720000</v>
      </c>
      <c r="L3" s="31">
        <f t="shared" si="0"/>
        <v>8720000</v>
      </c>
      <c r="M3" s="31">
        <f t="shared" si="0"/>
        <v>8720000</v>
      </c>
      <c r="N3" s="80">
        <f>+M3/C3-1</f>
        <v>0</v>
      </c>
      <c r="O3" s="2">
        <v>0</v>
      </c>
      <c r="P3" s="2">
        <v>100</v>
      </c>
      <c r="Q3" s="2">
        <v>0</v>
      </c>
    </row>
    <row r="4" spans="1:17" ht="15">
      <c r="A4" s="3">
        <f>+'Blandað bú'!D6</f>
        <v>0</v>
      </c>
      <c r="B4" t="s">
        <v>17</v>
      </c>
      <c r="C4" s="31">
        <v>487000</v>
      </c>
      <c r="D4" s="31">
        <f>+C4*(1+$A$4)</f>
        <v>487000</v>
      </c>
      <c r="E4" s="31">
        <f aca="true" t="shared" si="1" ref="E4:M4">+D4*(1+$A$4)</f>
        <v>487000</v>
      </c>
      <c r="F4" s="31">
        <f t="shared" si="1"/>
        <v>487000</v>
      </c>
      <c r="G4" s="31">
        <f t="shared" si="1"/>
        <v>487000</v>
      </c>
      <c r="H4" s="31">
        <f t="shared" si="1"/>
        <v>487000</v>
      </c>
      <c r="I4" s="31">
        <f t="shared" si="1"/>
        <v>487000</v>
      </c>
      <c r="J4" s="31">
        <f t="shared" si="1"/>
        <v>487000</v>
      </c>
      <c r="K4" s="31">
        <f t="shared" si="1"/>
        <v>487000</v>
      </c>
      <c r="L4" s="31">
        <f t="shared" si="1"/>
        <v>487000</v>
      </c>
      <c r="M4" s="31">
        <f t="shared" si="1"/>
        <v>487000</v>
      </c>
      <c r="N4" s="80">
        <f>+M4/C4-1</f>
        <v>0</v>
      </c>
      <c r="O4" s="2">
        <v>101</v>
      </c>
      <c r="P4" s="2">
        <v>120</v>
      </c>
      <c r="Q4" s="2">
        <v>20000</v>
      </c>
    </row>
    <row r="5" spans="2:17" ht="15">
      <c r="B5" t="s">
        <v>18</v>
      </c>
      <c r="C5" s="31">
        <v>14000</v>
      </c>
      <c r="D5" s="31">
        <v>14000</v>
      </c>
      <c r="E5" s="31">
        <v>14000</v>
      </c>
      <c r="F5" s="31">
        <v>14000</v>
      </c>
      <c r="G5" s="31">
        <v>14000</v>
      </c>
      <c r="H5" s="31">
        <v>14000</v>
      </c>
      <c r="I5" s="31">
        <v>14000</v>
      </c>
      <c r="J5" s="31">
        <v>14000</v>
      </c>
      <c r="K5" s="31">
        <v>14000</v>
      </c>
      <c r="L5" s="31">
        <v>14000</v>
      </c>
      <c r="M5" s="31">
        <v>14000</v>
      </c>
      <c r="O5" s="2">
        <v>121</v>
      </c>
      <c r="P5" s="2">
        <v>140</v>
      </c>
      <c r="Q5" s="2">
        <v>40000</v>
      </c>
    </row>
    <row r="6" spans="2:17" ht="15">
      <c r="B6" t="s">
        <v>19</v>
      </c>
      <c r="C6" s="31">
        <v>100000</v>
      </c>
      <c r="D6" s="31">
        <v>100000</v>
      </c>
      <c r="E6" s="31">
        <v>100000</v>
      </c>
      <c r="F6" s="31">
        <v>100000</v>
      </c>
      <c r="G6" s="31">
        <v>100000</v>
      </c>
      <c r="H6" s="31">
        <v>100000</v>
      </c>
      <c r="I6" s="31">
        <v>100000</v>
      </c>
      <c r="J6" s="31">
        <v>100000</v>
      </c>
      <c r="K6" s="31">
        <v>100000</v>
      </c>
      <c r="L6" s="31">
        <v>100000</v>
      </c>
      <c r="M6" s="31">
        <v>100000</v>
      </c>
      <c r="O6" s="2">
        <v>141</v>
      </c>
      <c r="P6" s="2">
        <v>160</v>
      </c>
      <c r="Q6" s="2">
        <v>60000</v>
      </c>
    </row>
    <row r="7" spans="2:17" ht="15">
      <c r="B7" t="s">
        <v>66</v>
      </c>
      <c r="C7" s="31">
        <v>350</v>
      </c>
      <c r="D7" s="31">
        <v>400</v>
      </c>
      <c r="E7" s="31">
        <v>400</v>
      </c>
      <c r="F7" s="31">
        <v>400</v>
      </c>
      <c r="G7" s="31">
        <v>400</v>
      </c>
      <c r="H7" s="31">
        <v>400</v>
      </c>
      <c r="I7" s="31">
        <v>400</v>
      </c>
      <c r="J7" s="31">
        <v>400</v>
      </c>
      <c r="K7" s="31">
        <v>400</v>
      </c>
      <c r="L7" s="31">
        <v>400</v>
      </c>
      <c r="M7" s="31">
        <v>400</v>
      </c>
      <c r="O7" s="2">
        <v>161</v>
      </c>
      <c r="P7" s="2">
        <v>180</v>
      </c>
      <c r="Q7" s="2">
        <v>80000</v>
      </c>
    </row>
    <row r="8" spans="2:17" ht="15">
      <c r="B8" t="s">
        <v>96</v>
      </c>
      <c r="C8" s="65">
        <v>0.004</v>
      </c>
      <c r="D8" s="65">
        <v>0.004</v>
      </c>
      <c r="E8" s="65">
        <v>0.004</v>
      </c>
      <c r="F8" s="65">
        <v>0.004</v>
      </c>
      <c r="G8" s="65">
        <v>0.004</v>
      </c>
      <c r="H8" s="65">
        <v>0.004</v>
      </c>
      <c r="I8" s="65">
        <v>0.004</v>
      </c>
      <c r="J8" s="65">
        <v>0.004</v>
      </c>
      <c r="K8" s="65">
        <v>0.004</v>
      </c>
      <c r="L8" s="65">
        <v>0.004</v>
      </c>
      <c r="M8" s="65">
        <v>0.004</v>
      </c>
      <c r="O8" s="2">
        <v>181</v>
      </c>
      <c r="P8" s="2">
        <v>200</v>
      </c>
      <c r="Q8" s="2">
        <v>100000</v>
      </c>
    </row>
    <row r="9" spans="2:17" ht="15">
      <c r="B9" t="s">
        <v>99</v>
      </c>
      <c r="C9" s="31">
        <v>40000000</v>
      </c>
      <c r="D9" s="31">
        <f aca="true" t="shared" si="2" ref="D9:M9">+D24*D8*1000000</f>
        <v>19732000</v>
      </c>
      <c r="E9" s="31">
        <f t="shared" si="2"/>
        <v>19660000</v>
      </c>
      <c r="F9" s="31">
        <f t="shared" si="2"/>
        <v>19580000</v>
      </c>
      <c r="G9" s="31">
        <f t="shared" si="2"/>
        <v>18772000.000000004</v>
      </c>
      <c r="H9" s="31">
        <f t="shared" si="2"/>
        <v>18700000</v>
      </c>
      <c r="I9" s="31">
        <f t="shared" si="2"/>
        <v>18528000</v>
      </c>
      <c r="J9" s="31">
        <f t="shared" si="2"/>
        <v>18360000</v>
      </c>
      <c r="K9" s="31">
        <f t="shared" si="2"/>
        <v>18208000.000000004</v>
      </c>
      <c r="L9" s="31">
        <f t="shared" si="2"/>
        <v>18044000</v>
      </c>
      <c r="M9" s="31">
        <f t="shared" si="2"/>
        <v>17876000</v>
      </c>
      <c r="O9" s="2">
        <v>201</v>
      </c>
      <c r="P9" s="2">
        <v>220</v>
      </c>
      <c r="Q9" s="2">
        <v>120000</v>
      </c>
    </row>
    <row r="10" spans="3:17" ht="15">
      <c r="C10" s="31"/>
      <c r="D10" s="30"/>
      <c r="E10" s="30"/>
      <c r="F10" s="30"/>
      <c r="G10" s="30"/>
      <c r="H10" s="30"/>
      <c r="I10" s="30"/>
      <c r="J10" s="30"/>
      <c r="K10" s="30"/>
      <c r="L10" s="30"/>
      <c r="M10" s="30"/>
      <c r="O10" s="2">
        <v>221</v>
      </c>
      <c r="P10" s="2">
        <v>240</v>
      </c>
      <c r="Q10" s="2">
        <v>140000</v>
      </c>
    </row>
    <row r="11" spans="3:17" ht="15">
      <c r="C11" s="30"/>
      <c r="D11" s="30"/>
      <c r="E11" s="30"/>
      <c r="F11" s="30"/>
      <c r="G11" s="30"/>
      <c r="H11" s="30"/>
      <c r="I11" s="30"/>
      <c r="J11" s="30"/>
      <c r="K11" s="30"/>
      <c r="L11" s="30"/>
      <c r="M11" s="30"/>
      <c r="O11" s="2">
        <v>241</v>
      </c>
      <c r="P11" s="2">
        <v>260</v>
      </c>
      <c r="Q11" s="2">
        <v>160000</v>
      </c>
    </row>
    <row r="12" spans="3:17" ht="15">
      <c r="C12" s="66">
        <v>2016</v>
      </c>
      <c r="D12" s="66">
        <v>2017</v>
      </c>
      <c r="E12" s="66">
        <v>2018</v>
      </c>
      <c r="F12" s="66">
        <v>2019</v>
      </c>
      <c r="G12" s="66">
        <v>2020</v>
      </c>
      <c r="H12" s="66">
        <v>2021</v>
      </c>
      <c r="I12" s="66">
        <v>2022</v>
      </c>
      <c r="J12" s="66">
        <v>2023</v>
      </c>
      <c r="K12" s="66">
        <v>2024</v>
      </c>
      <c r="L12" s="66">
        <v>2025</v>
      </c>
      <c r="M12" s="66">
        <v>2026</v>
      </c>
      <c r="O12" s="2">
        <v>261</v>
      </c>
      <c r="P12" s="2">
        <v>280</v>
      </c>
      <c r="Q12" s="2">
        <v>180000</v>
      </c>
    </row>
    <row r="13" spans="2:17" ht="15">
      <c r="B13" t="s">
        <v>1</v>
      </c>
      <c r="C13" s="31">
        <v>2578</v>
      </c>
      <c r="D13" s="31">
        <v>2506</v>
      </c>
      <c r="E13" s="31">
        <v>2267</v>
      </c>
      <c r="F13" s="31">
        <v>2205</v>
      </c>
      <c r="G13" s="31">
        <v>1944</v>
      </c>
      <c r="H13" s="31">
        <v>1635</v>
      </c>
      <c r="I13" s="31">
        <v>1319</v>
      </c>
      <c r="J13" s="31">
        <v>1046</v>
      </c>
      <c r="K13" s="31">
        <v>777</v>
      </c>
      <c r="L13" s="31">
        <v>422</v>
      </c>
      <c r="M13" s="31">
        <v>0</v>
      </c>
      <c r="O13" s="2">
        <v>281</v>
      </c>
      <c r="P13" s="2">
        <v>300</v>
      </c>
      <c r="Q13" s="2">
        <v>200000</v>
      </c>
    </row>
    <row r="14" spans="2:17" ht="15">
      <c r="B14" t="s">
        <v>2</v>
      </c>
      <c r="C14" s="31">
        <v>1766</v>
      </c>
      <c r="D14" s="31">
        <v>1714</v>
      </c>
      <c r="E14" s="31">
        <v>1679</v>
      </c>
      <c r="F14" s="31">
        <v>1674</v>
      </c>
      <c r="G14" s="31">
        <v>1652</v>
      </c>
      <c r="H14" s="31">
        <v>1816</v>
      </c>
      <c r="I14" s="31">
        <v>1970</v>
      </c>
      <c r="J14" s="31">
        <v>2120</v>
      </c>
      <c r="K14" s="31">
        <v>2268</v>
      </c>
      <c r="L14" s="31">
        <v>2504</v>
      </c>
      <c r="M14" s="31">
        <v>2482</v>
      </c>
      <c r="O14" s="2">
        <v>301</v>
      </c>
      <c r="P14" s="2">
        <v>350</v>
      </c>
      <c r="Q14" s="2">
        <v>220000</v>
      </c>
    </row>
    <row r="15" spans="2:17" ht="15">
      <c r="B15" t="s">
        <v>3</v>
      </c>
      <c r="C15" s="31"/>
      <c r="D15" s="31"/>
      <c r="E15" s="31"/>
      <c r="F15" s="31"/>
      <c r="G15" s="31">
        <v>95</v>
      </c>
      <c r="H15" s="31">
        <v>225</v>
      </c>
      <c r="I15" s="31">
        <v>355</v>
      </c>
      <c r="J15" s="31">
        <v>445</v>
      </c>
      <c r="K15" s="31">
        <v>534</v>
      </c>
      <c r="L15" s="31">
        <v>621</v>
      </c>
      <c r="M15" s="31">
        <v>1033</v>
      </c>
      <c r="O15" s="2">
        <v>351</v>
      </c>
      <c r="P15" s="2">
        <v>400</v>
      </c>
      <c r="Q15" s="2">
        <v>240000</v>
      </c>
    </row>
    <row r="16" spans="2:17" ht="15">
      <c r="B16" t="s">
        <v>5</v>
      </c>
      <c r="C16" s="31"/>
      <c r="D16" s="31">
        <v>20</v>
      </c>
      <c r="E16" s="31"/>
      <c r="F16" s="31"/>
      <c r="G16" s="31"/>
      <c r="H16" s="31"/>
      <c r="I16" s="31"/>
      <c r="J16" s="31"/>
      <c r="K16" s="31"/>
      <c r="L16" s="31"/>
      <c r="M16" s="31"/>
      <c r="O16" s="2">
        <v>401</v>
      </c>
      <c r="P16" s="2">
        <v>500</v>
      </c>
      <c r="Q16" s="2">
        <v>260000</v>
      </c>
    </row>
    <row r="17" spans="2:17" ht="15">
      <c r="B17" t="s">
        <v>13</v>
      </c>
      <c r="C17" s="31">
        <v>46</v>
      </c>
      <c r="D17" s="31"/>
      <c r="E17" s="31"/>
      <c r="F17" s="31"/>
      <c r="G17" s="31"/>
      <c r="H17" s="31"/>
      <c r="I17" s="31"/>
      <c r="J17" s="31"/>
      <c r="K17" s="31"/>
      <c r="L17" s="31"/>
      <c r="M17" s="31"/>
      <c r="O17" s="2">
        <v>501</v>
      </c>
      <c r="P17" s="2">
        <v>600</v>
      </c>
      <c r="Q17" s="2">
        <v>280000</v>
      </c>
    </row>
    <row r="18" spans="2:17" ht="15">
      <c r="B18" t="s">
        <v>14</v>
      </c>
      <c r="C18" s="31">
        <v>98</v>
      </c>
      <c r="D18" s="31"/>
      <c r="E18" s="31"/>
      <c r="F18" s="31"/>
      <c r="G18" s="31"/>
      <c r="H18" s="31"/>
      <c r="I18" s="31"/>
      <c r="J18" s="31"/>
      <c r="K18" s="31"/>
      <c r="L18" s="31"/>
      <c r="M18" s="31"/>
      <c r="O18" s="2">
        <v>601</v>
      </c>
      <c r="P18" s="2">
        <v>800</v>
      </c>
      <c r="Q18" s="2">
        <v>300000</v>
      </c>
    </row>
    <row r="19" spans="2:17" ht="15">
      <c r="B19" t="s">
        <v>7</v>
      </c>
      <c r="C19" s="31"/>
      <c r="D19" s="31"/>
      <c r="E19" s="31">
        <v>194</v>
      </c>
      <c r="F19" s="31">
        <v>242</v>
      </c>
      <c r="G19" s="31">
        <v>239</v>
      </c>
      <c r="H19" s="31">
        <v>238</v>
      </c>
      <c r="I19" s="31">
        <v>235</v>
      </c>
      <c r="J19" s="31">
        <v>233</v>
      </c>
      <c r="K19" s="31">
        <v>231</v>
      </c>
      <c r="L19" s="31">
        <v>229</v>
      </c>
      <c r="M19" s="31">
        <v>227</v>
      </c>
      <c r="O19" s="2">
        <v>801</v>
      </c>
      <c r="Q19" s="2">
        <v>320000</v>
      </c>
    </row>
    <row r="20" spans="2:13" ht="15">
      <c r="B20" t="s">
        <v>8</v>
      </c>
      <c r="C20" s="31">
        <f>457</f>
        <v>457</v>
      </c>
      <c r="D20" s="31">
        <v>446</v>
      </c>
      <c r="E20" s="31">
        <v>437</v>
      </c>
      <c r="F20" s="31">
        <v>436</v>
      </c>
      <c r="G20" s="31">
        <v>430</v>
      </c>
      <c r="H20" s="31">
        <v>428</v>
      </c>
      <c r="I20" s="31">
        <v>424</v>
      </c>
      <c r="J20" s="31">
        <v>420</v>
      </c>
      <c r="K20" s="31">
        <v>417</v>
      </c>
      <c r="L20" s="31">
        <v>413</v>
      </c>
      <c r="M20" s="31">
        <v>409</v>
      </c>
    </row>
    <row r="21" spans="2:13" ht="15">
      <c r="B21" t="s">
        <v>9</v>
      </c>
      <c r="C21" s="31">
        <v>0</v>
      </c>
      <c r="D21" s="31"/>
      <c r="E21" s="31">
        <v>48</v>
      </c>
      <c r="F21" s="31">
        <v>48</v>
      </c>
      <c r="G21" s="31">
        <v>95</v>
      </c>
      <c r="H21" s="31">
        <v>95</v>
      </c>
      <c r="I21" s="31">
        <v>94</v>
      </c>
      <c r="J21" s="31">
        <v>93</v>
      </c>
      <c r="K21" s="31">
        <v>93</v>
      </c>
      <c r="L21" s="31">
        <v>92</v>
      </c>
      <c r="M21" s="31">
        <v>91</v>
      </c>
    </row>
    <row r="22" spans="2:13" ht="15">
      <c r="B22" t="s">
        <v>6</v>
      </c>
      <c r="C22" s="31">
        <v>65</v>
      </c>
      <c r="D22" s="31">
        <v>99</v>
      </c>
      <c r="E22" s="31">
        <v>145</v>
      </c>
      <c r="F22" s="31">
        <v>145</v>
      </c>
      <c r="G22" s="31">
        <v>143</v>
      </c>
      <c r="H22" s="31">
        <v>143</v>
      </c>
      <c r="I22" s="31">
        <v>141</v>
      </c>
      <c r="J22" s="31">
        <v>140</v>
      </c>
      <c r="K22" s="31">
        <v>139</v>
      </c>
      <c r="L22" s="31">
        <v>138</v>
      </c>
      <c r="M22" s="31">
        <v>136</v>
      </c>
    </row>
    <row r="23" spans="2:13" ht="15">
      <c r="B23" t="s">
        <v>10</v>
      </c>
      <c r="C23" s="31"/>
      <c r="D23" s="31">
        <v>148</v>
      </c>
      <c r="E23" s="31">
        <v>145</v>
      </c>
      <c r="F23" s="31">
        <v>145</v>
      </c>
      <c r="G23" s="31">
        <v>95</v>
      </c>
      <c r="H23" s="31">
        <v>95</v>
      </c>
      <c r="I23" s="31">
        <v>94</v>
      </c>
      <c r="J23" s="31">
        <v>93</v>
      </c>
      <c r="K23" s="31">
        <v>93</v>
      </c>
      <c r="L23" s="31">
        <v>92</v>
      </c>
      <c r="M23" s="31">
        <v>91</v>
      </c>
    </row>
    <row r="24" spans="2:13" ht="15">
      <c r="B24" s="1" t="s">
        <v>11</v>
      </c>
      <c r="C24" s="67">
        <f>SUM(C13:C23)</f>
        <v>5010</v>
      </c>
      <c r="D24" s="67">
        <f>SUM(D13:D23)</f>
        <v>4933</v>
      </c>
      <c r="E24" s="67">
        <f aca="true" t="shared" si="3" ref="E24:M24">SUM(E13:E23)</f>
        <v>4915</v>
      </c>
      <c r="F24" s="67">
        <f t="shared" si="3"/>
        <v>4895</v>
      </c>
      <c r="G24" s="67">
        <f t="shared" si="3"/>
        <v>4693</v>
      </c>
      <c r="H24" s="67">
        <f t="shared" si="3"/>
        <v>4675</v>
      </c>
      <c r="I24" s="67">
        <f t="shared" si="3"/>
        <v>4632</v>
      </c>
      <c r="J24" s="67">
        <f t="shared" si="3"/>
        <v>4590</v>
      </c>
      <c r="K24" s="67">
        <f t="shared" si="3"/>
        <v>4552</v>
      </c>
      <c r="L24" s="67">
        <f t="shared" si="3"/>
        <v>4511</v>
      </c>
      <c r="M24" s="67">
        <f t="shared" si="3"/>
        <v>4469</v>
      </c>
    </row>
    <row r="25" spans="3:13" ht="15">
      <c r="C25" s="30"/>
      <c r="D25" s="30"/>
      <c r="E25" s="30"/>
      <c r="F25" s="30"/>
      <c r="G25" s="30"/>
      <c r="H25" s="30"/>
      <c r="I25" s="30"/>
      <c r="J25" s="30"/>
      <c r="K25" s="30"/>
      <c r="L25" s="30"/>
      <c r="M25" s="30"/>
    </row>
    <row r="26" spans="3:13" ht="15">
      <c r="C26" s="30"/>
      <c r="D26" s="30"/>
      <c r="E26" s="30"/>
      <c r="F26" s="30"/>
      <c r="G26" s="30"/>
      <c r="H26" s="30"/>
      <c r="I26" s="30"/>
      <c r="J26" s="30"/>
      <c r="K26" s="30"/>
      <c r="L26" s="30"/>
      <c r="M26" s="30"/>
    </row>
    <row r="27" spans="2:13" ht="15">
      <c r="B27" s="1" t="s">
        <v>214</v>
      </c>
      <c r="C27" s="30"/>
      <c r="D27" s="30"/>
      <c r="E27" s="30"/>
      <c r="F27" s="30"/>
      <c r="G27" s="30"/>
      <c r="H27" s="30"/>
      <c r="I27" s="30"/>
      <c r="J27" s="30"/>
      <c r="K27" s="30"/>
      <c r="L27" s="30"/>
      <c r="M27" s="30"/>
    </row>
    <row r="28" spans="1:13" ht="15">
      <c r="A28" s="181" t="s">
        <v>67</v>
      </c>
      <c r="B28" s="181" t="s">
        <v>1</v>
      </c>
      <c r="C28" s="182">
        <v>6888</v>
      </c>
      <c r="D28" s="182">
        <f>+D13/D2*1000000*D37</f>
        <v>6799.675482367243</v>
      </c>
      <c r="E28" s="182">
        <f aca="true" t="shared" si="4" ref="E28:M28">+E13/E2*1000000*E37</f>
        <v>6151.182888478267</v>
      </c>
      <c r="F28" s="182">
        <f t="shared" si="4"/>
        <v>5982.954684205814</v>
      </c>
      <c r="G28" s="182">
        <f t="shared" si="4"/>
        <v>5274.768211381453</v>
      </c>
      <c r="H28" s="182">
        <f t="shared" si="4"/>
        <v>4436.340548152611</v>
      </c>
      <c r="I28" s="182">
        <f t="shared" si="4"/>
        <v>3578.919377989782</v>
      </c>
      <c r="J28" s="182">
        <f t="shared" si="4"/>
        <v>2838.1726075643</v>
      </c>
      <c r="K28" s="182">
        <f t="shared" si="4"/>
        <v>2108.279269672525</v>
      </c>
      <c r="L28" s="182">
        <f t="shared" si="4"/>
        <v>1145.0371323060558</v>
      </c>
      <c r="M28" s="182">
        <f t="shared" si="4"/>
        <v>0</v>
      </c>
    </row>
    <row r="29" spans="1:13" ht="15">
      <c r="A29" s="181" t="s">
        <v>68</v>
      </c>
      <c r="B29" s="181" t="s">
        <v>2</v>
      </c>
      <c r="C29" s="182">
        <f>+C14/C3*1000000</f>
        <v>202.52293577981652</v>
      </c>
      <c r="D29" s="182">
        <f>+D14/D3*1000000*D37</f>
        <v>196.55963302752295</v>
      </c>
      <c r="E29" s="182">
        <f aca="true" t="shared" si="5" ref="E29:M29">+E14/E3*1000000*E37</f>
        <v>192.545871559633</v>
      </c>
      <c r="F29" s="182">
        <f t="shared" si="5"/>
        <v>191.9724770642202</v>
      </c>
      <c r="G29" s="182">
        <f t="shared" si="5"/>
        <v>189.44954128440367</v>
      </c>
      <c r="H29" s="182">
        <f t="shared" si="5"/>
        <v>208.25688073394497</v>
      </c>
      <c r="I29" s="182">
        <f t="shared" si="5"/>
        <v>225.91743119266056</v>
      </c>
      <c r="J29" s="182">
        <f t="shared" si="5"/>
        <v>243.11926605504587</v>
      </c>
      <c r="K29" s="182">
        <f t="shared" si="5"/>
        <v>260.091743119266</v>
      </c>
      <c r="L29" s="182">
        <f t="shared" si="5"/>
        <v>287.1559633027523</v>
      </c>
      <c r="M29" s="182">
        <f t="shared" si="5"/>
        <v>284.6330275229358</v>
      </c>
    </row>
    <row r="30" spans="1:13" ht="15">
      <c r="A30" s="181" t="s">
        <v>69</v>
      </c>
      <c r="B30" s="181" t="s">
        <v>3</v>
      </c>
      <c r="C30" s="182">
        <f>+C15/C4*1000000</f>
        <v>0</v>
      </c>
      <c r="D30" s="182">
        <f>+D15/D4*1000000*D37</f>
        <v>0</v>
      </c>
      <c r="E30" s="182">
        <f aca="true" t="shared" si="6" ref="E30:M30">+E15/E4*1000000*E37</f>
        <v>0</v>
      </c>
      <c r="F30" s="182">
        <f t="shared" si="6"/>
        <v>0</v>
      </c>
      <c r="G30" s="182">
        <f t="shared" si="6"/>
        <v>195.0718685831622</v>
      </c>
      <c r="H30" s="182">
        <f t="shared" si="6"/>
        <v>462.0123203285421</v>
      </c>
      <c r="I30" s="182">
        <f t="shared" si="6"/>
        <v>728.952772073922</v>
      </c>
      <c r="J30" s="182">
        <f t="shared" si="6"/>
        <v>913.7577002053388</v>
      </c>
      <c r="K30" s="182">
        <f t="shared" si="6"/>
        <v>1096.5092402464065</v>
      </c>
      <c r="L30" s="182">
        <f t="shared" si="6"/>
        <v>1275.1540041067763</v>
      </c>
      <c r="M30" s="182">
        <f t="shared" si="6"/>
        <v>2121.149897330595</v>
      </c>
    </row>
    <row r="31" spans="1:13" ht="15">
      <c r="A31" s="181" t="s">
        <v>69</v>
      </c>
      <c r="B31" s="181" t="s">
        <v>8</v>
      </c>
      <c r="C31" s="182">
        <f>+C20/C4*1000000</f>
        <v>938.3983572895278</v>
      </c>
      <c r="D31" s="182">
        <f>+D20/D4*1000000*D37</f>
        <v>915.8110882956879</v>
      </c>
      <c r="E31" s="182">
        <f aca="true" t="shared" si="7" ref="E31:M31">+E20/E4*1000000*E37</f>
        <v>897.3305954825462</v>
      </c>
      <c r="F31" s="182">
        <f t="shared" si="7"/>
        <v>895.2772073921972</v>
      </c>
      <c r="G31" s="182">
        <f t="shared" si="7"/>
        <v>882.9568788501027</v>
      </c>
      <c r="H31" s="182">
        <f t="shared" si="7"/>
        <v>878.8501026694045</v>
      </c>
      <c r="I31" s="182">
        <f t="shared" si="7"/>
        <v>870.6365503080082</v>
      </c>
      <c r="J31" s="182">
        <f t="shared" si="7"/>
        <v>862.4229979466119</v>
      </c>
      <c r="K31" s="182">
        <f t="shared" si="7"/>
        <v>856.2628336755647</v>
      </c>
      <c r="L31" s="182">
        <f t="shared" si="7"/>
        <v>848.0492813141684</v>
      </c>
      <c r="M31" s="182">
        <f t="shared" si="7"/>
        <v>839.8357289527721</v>
      </c>
    </row>
    <row r="32" spans="1:13" ht="15">
      <c r="A32" s="181" t="s">
        <v>70</v>
      </c>
      <c r="B32" s="181" t="s">
        <v>6</v>
      </c>
      <c r="C32" s="183">
        <v>180000</v>
      </c>
      <c r="D32" s="182">
        <f>+D22/D7*1000000*D37</f>
        <v>247500</v>
      </c>
      <c r="E32" s="182">
        <f aca="true" t="shared" si="8" ref="E32:M32">+E22/E7*1000000*E37</f>
        <v>362500</v>
      </c>
      <c r="F32" s="182">
        <f t="shared" si="8"/>
        <v>362500</v>
      </c>
      <c r="G32" s="182">
        <f t="shared" si="8"/>
        <v>357500</v>
      </c>
      <c r="H32" s="182">
        <f t="shared" si="8"/>
        <v>357500</v>
      </c>
      <c r="I32" s="182">
        <f t="shared" si="8"/>
        <v>352500</v>
      </c>
      <c r="J32" s="182">
        <f t="shared" si="8"/>
        <v>350000</v>
      </c>
      <c r="K32" s="182">
        <f t="shared" si="8"/>
        <v>347500</v>
      </c>
      <c r="L32" s="182">
        <f t="shared" si="8"/>
        <v>345000</v>
      </c>
      <c r="M32" s="182">
        <f t="shared" si="8"/>
        <v>340000</v>
      </c>
    </row>
    <row r="33" spans="1:14" ht="15">
      <c r="A33" s="181" t="s">
        <v>68</v>
      </c>
      <c r="B33" s="181" t="s">
        <v>100</v>
      </c>
      <c r="C33" s="183">
        <f>+'Blandað bú'!B12</f>
        <v>600</v>
      </c>
      <c r="D33" s="183">
        <f>+C33*(1+'Blandað bú'!$D$12)</f>
        <v>600</v>
      </c>
      <c r="E33" s="183">
        <f>+D33*(1+'Blandað bú'!$D$12)</f>
        <v>600</v>
      </c>
      <c r="F33" s="183">
        <f>+E33*(1+'Blandað bú'!$D$12)</f>
        <v>600</v>
      </c>
      <c r="G33" s="183">
        <f>+F33*(1+'Blandað bú'!$D$12)</f>
        <v>600</v>
      </c>
      <c r="H33" s="183">
        <f>+G33*(1+'Blandað bú'!$D$12)</f>
        <v>600</v>
      </c>
      <c r="I33" s="183">
        <f>+H33*(1+'Blandað bú'!$D$12)</f>
        <v>600</v>
      </c>
      <c r="J33" s="183">
        <f>+I33*(1+'Blandað bú'!$D$12)</f>
        <v>600</v>
      </c>
      <c r="K33" s="183">
        <f>+J33*(1+'Blandað bú'!$D$12)</f>
        <v>600</v>
      </c>
      <c r="L33" s="183">
        <f>+K33*(1+'Blandað bú'!$D$12)</f>
        <v>600</v>
      </c>
      <c r="M33" s="183">
        <f>+L33*(1+'Blandað bú'!$D$12)</f>
        <v>600</v>
      </c>
      <c r="N33" s="80">
        <f>+M33/C33-1</f>
        <v>0</v>
      </c>
    </row>
    <row r="34" spans="1:14" ht="15">
      <c r="A34" s="181" t="s">
        <v>69</v>
      </c>
      <c r="B34" s="181" t="s">
        <v>111</v>
      </c>
      <c r="C34" s="183">
        <v>300</v>
      </c>
      <c r="D34" s="182">
        <f>+C34</f>
        <v>300</v>
      </c>
      <c r="E34" s="182">
        <f aca="true" t="shared" si="9" ref="E34:M34">+D34</f>
        <v>300</v>
      </c>
      <c r="F34" s="182">
        <f t="shared" si="9"/>
        <v>300</v>
      </c>
      <c r="G34" s="182">
        <f t="shared" si="9"/>
        <v>300</v>
      </c>
      <c r="H34" s="182">
        <f t="shared" si="9"/>
        <v>300</v>
      </c>
      <c r="I34" s="182">
        <f t="shared" si="9"/>
        <v>300</v>
      </c>
      <c r="J34" s="182">
        <f t="shared" si="9"/>
        <v>300</v>
      </c>
      <c r="K34" s="182">
        <f t="shared" si="9"/>
        <v>300</v>
      </c>
      <c r="L34" s="182">
        <f t="shared" si="9"/>
        <v>300</v>
      </c>
      <c r="M34" s="182">
        <f t="shared" si="9"/>
        <v>300</v>
      </c>
      <c r="N34" s="80">
        <f>+M34/C34-1</f>
        <v>0</v>
      </c>
    </row>
    <row r="35" spans="1:14" ht="15">
      <c r="A35" s="181" t="s">
        <v>68</v>
      </c>
      <c r="B35" s="181" t="s">
        <v>124</v>
      </c>
      <c r="C35" s="182">
        <f>+'Blandað bú'!B13</f>
        <v>180</v>
      </c>
      <c r="D35" s="183">
        <f>+C35*(1+'Blandað bú'!$D$13)</f>
        <v>180</v>
      </c>
      <c r="E35" s="183">
        <f>+D35*(1+'Blandað bú'!$D$13)</f>
        <v>180</v>
      </c>
      <c r="F35" s="183">
        <f>+E35*(1+'Blandað bú'!$D$13)</f>
        <v>180</v>
      </c>
      <c r="G35" s="183">
        <f>+F35*(1+'Blandað bú'!$D$13)</f>
        <v>180</v>
      </c>
      <c r="H35" s="183">
        <f>+G35*(1+'Blandað bú'!$D$13)</f>
        <v>180</v>
      </c>
      <c r="I35" s="183">
        <f>+H35*(1+'Blandað bú'!$D$13)</f>
        <v>180</v>
      </c>
      <c r="J35" s="183">
        <f>+I35*(1+'Blandað bú'!$D$13)</f>
        <v>180</v>
      </c>
      <c r="K35" s="183">
        <f>+J35*(1+'Blandað bú'!$D$13)</f>
        <v>180</v>
      </c>
      <c r="L35" s="183">
        <f>+K35*(1+'Blandað bú'!$D$13)</f>
        <v>180</v>
      </c>
      <c r="M35" s="183">
        <f>+L35*(1+'Blandað bú'!$D$13)</f>
        <v>180</v>
      </c>
      <c r="N35" s="80">
        <f>+M35/C35-1</f>
        <v>0</v>
      </c>
    </row>
    <row r="37" spans="1:13" ht="15">
      <c r="A37" s="258">
        <f>'Blandað bú'!$F$20</f>
        <v>0</v>
      </c>
      <c r="B37" s="181" t="s">
        <v>219</v>
      </c>
      <c r="C37" s="260">
        <v>1</v>
      </c>
      <c r="D37" s="260">
        <f>+C37*(1+$A$37)</f>
        <v>1</v>
      </c>
      <c r="E37" s="260">
        <f aca="true" t="shared" si="10" ref="E37:M37">+D37*(1+$A$37)</f>
        <v>1</v>
      </c>
      <c r="F37" s="260">
        <f t="shared" si="10"/>
        <v>1</v>
      </c>
      <c r="G37" s="260">
        <f t="shared" si="10"/>
        <v>1</v>
      </c>
      <c r="H37" s="260">
        <f t="shared" si="10"/>
        <v>1</v>
      </c>
      <c r="I37" s="260">
        <f t="shared" si="10"/>
        <v>1</v>
      </c>
      <c r="J37" s="260">
        <f t="shared" si="10"/>
        <v>1</v>
      </c>
      <c r="K37" s="260">
        <f t="shared" si="10"/>
        <v>1</v>
      </c>
      <c r="L37" s="260">
        <f t="shared" si="10"/>
        <v>1</v>
      </c>
      <c r="M37" s="260">
        <f t="shared" si="10"/>
        <v>1</v>
      </c>
    </row>
  </sheetData>
  <sheetProtection password="F3A3" sheet="1" objects="1" scenarios="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5"/>
  <sheetViews>
    <sheetView zoomScalePageLayoutView="0" workbookViewId="0" topLeftCell="A16">
      <selection activeCell="E37" sqref="E37"/>
    </sheetView>
  </sheetViews>
  <sheetFormatPr defaultColWidth="9.140625" defaultRowHeight="15"/>
  <cols>
    <col min="2" max="2" width="27.140625" style="0" customWidth="1"/>
    <col min="3" max="3" width="16.7109375" style="0" bestFit="1" customWidth="1"/>
    <col min="4" max="13" width="14.140625" style="0" bestFit="1" customWidth="1"/>
  </cols>
  <sheetData>
    <row r="1" spans="1:3" ht="15">
      <c r="A1" s="1" t="s">
        <v>20</v>
      </c>
      <c r="C1" t="s">
        <v>30</v>
      </c>
    </row>
    <row r="2" spans="1:14" ht="15">
      <c r="A2" s="3">
        <f>+'Blandað bú'!D14</f>
        <v>0</v>
      </c>
      <c r="B2" t="s">
        <v>105</v>
      </c>
      <c r="C2" s="31">
        <v>136</v>
      </c>
      <c r="D2" s="31">
        <f>+C2*(1+$A$2)</f>
        <v>136</v>
      </c>
      <c r="E2" s="31">
        <f aca="true" t="shared" si="0" ref="E2:M2">+D2*(1+$A$2)</f>
        <v>136</v>
      </c>
      <c r="F2" s="31">
        <f t="shared" si="0"/>
        <v>136</v>
      </c>
      <c r="G2" s="31">
        <f t="shared" si="0"/>
        <v>136</v>
      </c>
      <c r="H2" s="31">
        <f t="shared" si="0"/>
        <v>136</v>
      </c>
      <c r="I2" s="31">
        <f t="shared" si="0"/>
        <v>136</v>
      </c>
      <c r="J2" s="31">
        <f t="shared" si="0"/>
        <v>136</v>
      </c>
      <c r="K2" s="31">
        <f t="shared" si="0"/>
        <v>136</v>
      </c>
      <c r="L2" s="31">
        <f t="shared" si="0"/>
        <v>136</v>
      </c>
      <c r="M2" s="31">
        <f t="shared" si="0"/>
        <v>136</v>
      </c>
      <c r="N2" s="80">
        <f>+M2/C2-1</f>
        <v>0</v>
      </c>
    </row>
    <row r="3" spans="1:14" ht="15">
      <c r="A3" s="3">
        <f>+'Blandað bú'!D15</f>
        <v>0</v>
      </c>
      <c r="B3" t="s">
        <v>29</v>
      </c>
      <c r="C3" s="180">
        <f>+'Blandað bú'!F24</f>
        <v>150</v>
      </c>
      <c r="D3" s="31">
        <f>+C3*(1+$A$3)</f>
        <v>150</v>
      </c>
      <c r="E3" s="31">
        <f aca="true" t="shared" si="1" ref="E3:M3">+D3*(1+$A$3)</f>
        <v>150</v>
      </c>
      <c r="F3" s="31">
        <f t="shared" si="1"/>
        <v>150</v>
      </c>
      <c r="G3" s="31">
        <f t="shared" si="1"/>
        <v>150</v>
      </c>
      <c r="H3" s="31">
        <f t="shared" si="1"/>
        <v>150</v>
      </c>
      <c r="I3" s="31">
        <f t="shared" si="1"/>
        <v>150</v>
      </c>
      <c r="J3" s="31">
        <f t="shared" si="1"/>
        <v>150</v>
      </c>
      <c r="K3" s="31">
        <f t="shared" si="1"/>
        <v>150</v>
      </c>
      <c r="L3" s="31">
        <f t="shared" si="1"/>
        <v>150</v>
      </c>
      <c r="M3" s="31">
        <f t="shared" si="1"/>
        <v>150</v>
      </c>
      <c r="N3" s="80">
        <f>+M3/C3-1</f>
        <v>0</v>
      </c>
    </row>
    <row r="4" spans="1:14" ht="15">
      <c r="A4" s="3">
        <f>+'Blandað bú'!D16</f>
        <v>0</v>
      </c>
      <c r="B4" t="s">
        <v>31</v>
      </c>
      <c r="C4" s="31">
        <v>27000</v>
      </c>
      <c r="D4" s="31">
        <f>+C4*(1+$A$4)</f>
        <v>27000</v>
      </c>
      <c r="E4" s="31">
        <f aca="true" t="shared" si="2" ref="E4:M4">+D4*(1+$A$4)</f>
        <v>27000</v>
      </c>
      <c r="F4" s="31">
        <f t="shared" si="2"/>
        <v>27000</v>
      </c>
      <c r="G4" s="31">
        <f t="shared" si="2"/>
        <v>27000</v>
      </c>
      <c r="H4" s="31">
        <f t="shared" si="2"/>
        <v>27000</v>
      </c>
      <c r="I4" s="31">
        <f t="shared" si="2"/>
        <v>27000</v>
      </c>
      <c r="J4" s="31">
        <f t="shared" si="2"/>
        <v>27000</v>
      </c>
      <c r="K4" s="31">
        <f t="shared" si="2"/>
        <v>27000</v>
      </c>
      <c r="L4" s="31">
        <f t="shared" si="2"/>
        <v>27000</v>
      </c>
      <c r="M4" s="31">
        <f t="shared" si="2"/>
        <v>27000</v>
      </c>
      <c r="N4" s="80">
        <f aca="true" t="shared" si="3" ref="N4:N10">+M4/C4-1</f>
        <v>0</v>
      </c>
    </row>
    <row r="5" spans="1:14" ht="15">
      <c r="A5" s="3">
        <f>+'Blandað bú'!D17</f>
        <v>0</v>
      </c>
      <c r="B5" t="s">
        <v>32</v>
      </c>
      <c r="C5" s="31">
        <v>2000</v>
      </c>
      <c r="D5" s="31">
        <f>+C5*(1+$A$5)</f>
        <v>2000</v>
      </c>
      <c r="E5" s="31">
        <f aca="true" t="shared" si="4" ref="E5:M5">+D5*(1+$A$5)</f>
        <v>2000</v>
      </c>
      <c r="F5" s="31">
        <f t="shared" si="4"/>
        <v>2000</v>
      </c>
      <c r="G5" s="31">
        <f t="shared" si="4"/>
        <v>2000</v>
      </c>
      <c r="H5" s="31">
        <f t="shared" si="4"/>
        <v>2000</v>
      </c>
      <c r="I5" s="31">
        <f t="shared" si="4"/>
        <v>2000</v>
      </c>
      <c r="J5" s="31">
        <f t="shared" si="4"/>
        <v>2000</v>
      </c>
      <c r="K5" s="31">
        <f t="shared" si="4"/>
        <v>2000</v>
      </c>
      <c r="L5" s="31">
        <f t="shared" si="4"/>
        <v>2000</v>
      </c>
      <c r="M5" s="31">
        <f t="shared" si="4"/>
        <v>2000</v>
      </c>
      <c r="N5" s="80">
        <f t="shared" si="3"/>
        <v>0</v>
      </c>
    </row>
    <row r="6" spans="2:14" ht="15">
      <c r="B6" t="s">
        <v>97</v>
      </c>
      <c r="C6" s="68">
        <v>0.007</v>
      </c>
      <c r="D6" s="68">
        <v>0.007</v>
      </c>
      <c r="E6" s="68">
        <v>0.007</v>
      </c>
      <c r="F6" s="68">
        <v>0.007</v>
      </c>
      <c r="G6" s="68">
        <v>0.007</v>
      </c>
      <c r="H6" s="68">
        <v>0.007</v>
      </c>
      <c r="I6" s="68">
        <v>0.007</v>
      </c>
      <c r="J6" s="68">
        <v>0.007</v>
      </c>
      <c r="K6" s="68">
        <v>0.007</v>
      </c>
      <c r="L6" s="68">
        <v>0.007</v>
      </c>
      <c r="M6" s="68">
        <v>0.007</v>
      </c>
      <c r="N6" s="80">
        <f t="shared" si="3"/>
        <v>0</v>
      </c>
    </row>
    <row r="7" spans="2:14" ht="15">
      <c r="B7" t="s">
        <v>98</v>
      </c>
      <c r="C7" s="31">
        <v>1000000000</v>
      </c>
      <c r="D7" s="31">
        <f aca="true" t="shared" si="5" ref="D7:M7">+D22*D6*1000000</f>
        <v>45843000</v>
      </c>
      <c r="E7" s="31">
        <f t="shared" si="5"/>
        <v>45136000</v>
      </c>
      <c r="F7" s="31">
        <f t="shared" si="5"/>
        <v>45136000</v>
      </c>
      <c r="G7" s="31">
        <f t="shared" si="5"/>
        <v>44779000</v>
      </c>
      <c r="H7" s="31">
        <f t="shared" si="5"/>
        <v>44772000</v>
      </c>
      <c r="I7" s="31">
        <f t="shared" si="5"/>
        <v>44541000.00000001</v>
      </c>
      <c r="J7" s="31">
        <f t="shared" si="5"/>
        <v>44135000</v>
      </c>
      <c r="K7" s="31">
        <f t="shared" si="5"/>
        <v>43743000</v>
      </c>
      <c r="L7" s="31">
        <f t="shared" si="5"/>
        <v>43358000.00000001</v>
      </c>
      <c r="M7" s="31">
        <f t="shared" si="5"/>
        <v>42959000</v>
      </c>
      <c r="N7" s="80"/>
    </row>
    <row r="8" spans="2:14" ht="15">
      <c r="B8" t="s">
        <v>61</v>
      </c>
      <c r="C8" s="31">
        <f>672-30</f>
        <v>642</v>
      </c>
      <c r="D8" s="30"/>
      <c r="E8" s="30"/>
      <c r="F8" s="30"/>
      <c r="G8" s="30"/>
      <c r="H8" s="30"/>
      <c r="I8" s="30"/>
      <c r="J8" s="30"/>
      <c r="K8" s="30"/>
      <c r="L8" s="30"/>
      <c r="M8" s="30"/>
      <c r="N8" s="80"/>
    </row>
    <row r="9" spans="1:14" ht="15">
      <c r="A9" s="3">
        <f>+'Blandað bú'!D18</f>
        <v>0</v>
      </c>
      <c r="B9" t="s">
        <v>154</v>
      </c>
      <c r="C9" s="31">
        <v>1500000</v>
      </c>
      <c r="D9" s="31">
        <f>+C9*(1+$A$9)</f>
        <v>1500000</v>
      </c>
      <c r="E9" s="31">
        <f aca="true" t="shared" si="6" ref="E9:M9">+D9*(1+$A$9)</f>
        <v>1500000</v>
      </c>
      <c r="F9" s="31">
        <f t="shared" si="6"/>
        <v>1500000</v>
      </c>
      <c r="G9" s="31">
        <f t="shared" si="6"/>
        <v>1500000</v>
      </c>
      <c r="H9" s="31">
        <f t="shared" si="6"/>
        <v>1500000</v>
      </c>
      <c r="I9" s="31">
        <f t="shared" si="6"/>
        <v>1500000</v>
      </c>
      <c r="J9" s="31">
        <f t="shared" si="6"/>
        <v>1500000</v>
      </c>
      <c r="K9" s="31">
        <f t="shared" si="6"/>
        <v>1500000</v>
      </c>
      <c r="L9" s="31">
        <f t="shared" si="6"/>
        <v>1500000</v>
      </c>
      <c r="M9" s="31">
        <f t="shared" si="6"/>
        <v>1500000</v>
      </c>
      <c r="N9" s="80">
        <f t="shared" si="3"/>
        <v>0</v>
      </c>
    </row>
    <row r="10" spans="1:14" ht="15">
      <c r="A10" s="3">
        <f>+'Blandað bú'!$D$19</f>
        <v>0</v>
      </c>
      <c r="B10" t="s">
        <v>135</v>
      </c>
      <c r="C10" s="31">
        <v>1700000</v>
      </c>
      <c r="D10" s="31">
        <f>+C10*(1+$A$10)</f>
        <v>1700000</v>
      </c>
      <c r="E10" s="31">
        <f aca="true" t="shared" si="7" ref="E10:M10">+D10*(1+$A$10)</f>
        <v>1700000</v>
      </c>
      <c r="F10" s="31">
        <f t="shared" si="7"/>
        <v>1700000</v>
      </c>
      <c r="G10" s="31">
        <f t="shared" si="7"/>
        <v>1700000</v>
      </c>
      <c r="H10" s="31">
        <f t="shared" si="7"/>
        <v>1700000</v>
      </c>
      <c r="I10" s="31">
        <f t="shared" si="7"/>
        <v>1700000</v>
      </c>
      <c r="J10" s="31">
        <f t="shared" si="7"/>
        <v>1700000</v>
      </c>
      <c r="K10" s="31">
        <f t="shared" si="7"/>
        <v>1700000</v>
      </c>
      <c r="L10" s="31">
        <f t="shared" si="7"/>
        <v>1700000</v>
      </c>
      <c r="M10" s="31">
        <f t="shared" si="7"/>
        <v>1700000</v>
      </c>
      <c r="N10" s="80">
        <f t="shared" si="3"/>
        <v>0</v>
      </c>
    </row>
    <row r="11" spans="3:13" ht="15">
      <c r="C11" s="30"/>
      <c r="D11" s="30"/>
      <c r="E11" s="30"/>
      <c r="F11" s="30"/>
      <c r="G11" s="30"/>
      <c r="H11" s="30"/>
      <c r="I11" s="30"/>
      <c r="J11" s="30"/>
      <c r="K11" s="30"/>
      <c r="L11" s="30"/>
      <c r="M11" s="30"/>
    </row>
    <row r="12" spans="3:15" ht="15">
      <c r="C12" s="66">
        <v>2016</v>
      </c>
      <c r="D12" s="66">
        <v>2017</v>
      </c>
      <c r="E12" s="66">
        <v>2018</v>
      </c>
      <c r="F12" s="66">
        <v>2019</v>
      </c>
      <c r="G12" s="66">
        <v>2020</v>
      </c>
      <c r="H12" s="66">
        <v>2021</v>
      </c>
      <c r="I12" s="66">
        <v>2022</v>
      </c>
      <c r="J12" s="66">
        <v>2023</v>
      </c>
      <c r="K12" s="66">
        <v>2024</v>
      </c>
      <c r="L12" s="66">
        <v>2025</v>
      </c>
      <c r="M12" s="66">
        <v>2026</v>
      </c>
      <c r="O12" t="s">
        <v>34</v>
      </c>
    </row>
    <row r="13" spans="2:17" ht="15">
      <c r="B13" t="s">
        <v>21</v>
      </c>
      <c r="C13" s="30">
        <v>2284</v>
      </c>
      <c r="D13" s="30">
        <v>1942</v>
      </c>
      <c r="E13" s="30">
        <v>1934</v>
      </c>
      <c r="F13" s="30">
        <v>1927</v>
      </c>
      <c r="G13" s="30">
        <v>1633</v>
      </c>
      <c r="H13" s="30">
        <v>1355</v>
      </c>
      <c r="I13" s="30">
        <v>1074</v>
      </c>
      <c r="J13" s="30">
        <v>798</v>
      </c>
      <c r="K13" s="30">
        <v>527</v>
      </c>
      <c r="L13" s="30">
        <v>260</v>
      </c>
      <c r="M13" s="30">
        <v>0</v>
      </c>
      <c r="O13" s="4" t="s">
        <v>35</v>
      </c>
      <c r="P13" s="4" t="s">
        <v>31</v>
      </c>
      <c r="Q13" s="4" t="s">
        <v>32</v>
      </c>
    </row>
    <row r="14" spans="2:17" ht="15">
      <c r="B14" t="s">
        <v>22</v>
      </c>
      <c r="C14" s="30">
        <v>3425</v>
      </c>
      <c r="D14" s="30">
        <v>2629</v>
      </c>
      <c r="E14" s="30">
        <v>2619</v>
      </c>
      <c r="F14" s="30">
        <v>2609</v>
      </c>
      <c r="G14" s="30">
        <v>2688</v>
      </c>
      <c r="H14" s="30">
        <v>2949</v>
      </c>
      <c r="I14" s="30">
        <v>3193</v>
      </c>
      <c r="J14" s="30">
        <v>3431</v>
      </c>
      <c r="K14" s="30">
        <v>3665</v>
      </c>
      <c r="L14" s="30">
        <v>3894</v>
      </c>
      <c r="M14" s="30">
        <v>4117</v>
      </c>
      <c r="O14" s="5">
        <v>1</v>
      </c>
      <c r="P14" s="4" t="s">
        <v>36</v>
      </c>
      <c r="Q14" s="4" t="s">
        <v>41</v>
      </c>
    </row>
    <row r="15" spans="2:17" ht="15">
      <c r="B15" t="s">
        <v>23</v>
      </c>
      <c r="C15" s="30">
        <v>680</v>
      </c>
      <c r="D15" s="30">
        <v>1175</v>
      </c>
      <c r="E15" s="30">
        <v>1171</v>
      </c>
      <c r="F15" s="30">
        <v>1166</v>
      </c>
      <c r="G15" s="30">
        <v>1298</v>
      </c>
      <c r="H15" s="30">
        <v>1293</v>
      </c>
      <c r="I15" s="30">
        <v>1282</v>
      </c>
      <c r="J15" s="30">
        <v>1271</v>
      </c>
      <c r="K15" s="30">
        <v>1259</v>
      </c>
      <c r="L15" s="30">
        <v>1248</v>
      </c>
      <c r="M15" s="30">
        <v>1237</v>
      </c>
      <c r="O15" s="5">
        <v>0.75</v>
      </c>
      <c r="P15" s="4" t="s">
        <v>37</v>
      </c>
      <c r="Q15" s="4" t="s">
        <v>42</v>
      </c>
    </row>
    <row r="16" spans="2:17" ht="15">
      <c r="B16" t="s">
        <v>24</v>
      </c>
      <c r="C16" s="30"/>
      <c r="D16" s="30">
        <v>141</v>
      </c>
      <c r="E16" s="30">
        <v>140</v>
      </c>
      <c r="F16" s="30">
        <v>140</v>
      </c>
      <c r="G16" s="30">
        <v>156</v>
      </c>
      <c r="H16" s="30">
        <v>155</v>
      </c>
      <c r="I16" s="30">
        <v>154</v>
      </c>
      <c r="J16" s="30">
        <v>152</v>
      </c>
      <c r="K16" s="30">
        <v>151</v>
      </c>
      <c r="L16" s="30">
        <v>150</v>
      </c>
      <c r="M16" s="30">
        <v>148</v>
      </c>
      <c r="O16" s="5">
        <v>0.5</v>
      </c>
      <c r="P16" s="4" t="s">
        <v>38</v>
      </c>
      <c r="Q16" s="4" t="s">
        <v>43</v>
      </c>
    </row>
    <row r="17" spans="2:17" ht="15">
      <c r="B17" t="s">
        <v>25</v>
      </c>
      <c r="C17" s="30"/>
      <c r="D17" s="30">
        <v>99</v>
      </c>
      <c r="E17" s="30">
        <v>98</v>
      </c>
      <c r="F17" s="30">
        <v>98</v>
      </c>
      <c r="G17" s="30">
        <v>97</v>
      </c>
      <c r="H17" s="30">
        <v>97</v>
      </c>
      <c r="I17" s="30">
        <v>96</v>
      </c>
      <c r="J17" s="30">
        <v>95</v>
      </c>
      <c r="K17" s="30">
        <v>94</v>
      </c>
      <c r="L17" s="30">
        <v>93</v>
      </c>
      <c r="M17" s="30">
        <v>92</v>
      </c>
      <c r="O17" s="5">
        <v>0.25</v>
      </c>
      <c r="P17" s="4" t="s">
        <v>39</v>
      </c>
      <c r="Q17" s="4" t="s">
        <v>44</v>
      </c>
    </row>
    <row r="18" spans="2:17" ht="15">
      <c r="B18" t="s">
        <v>26</v>
      </c>
      <c r="C18" s="30">
        <v>171</v>
      </c>
      <c r="D18" s="30">
        <v>197</v>
      </c>
      <c r="E18" s="30">
        <v>196</v>
      </c>
      <c r="F18" s="30">
        <v>196</v>
      </c>
      <c r="G18" s="30">
        <v>193</v>
      </c>
      <c r="H18" s="30">
        <v>193</v>
      </c>
      <c r="I18" s="30">
        <v>191</v>
      </c>
      <c r="J18" s="30">
        <v>189</v>
      </c>
      <c r="K18" s="30">
        <v>188</v>
      </c>
      <c r="L18" s="30">
        <v>186</v>
      </c>
      <c r="M18" s="30">
        <v>184</v>
      </c>
      <c r="O18" s="5">
        <v>0</v>
      </c>
      <c r="P18" s="4" t="s">
        <v>40</v>
      </c>
      <c r="Q18" s="4" t="s">
        <v>45</v>
      </c>
    </row>
    <row r="19" spans="2:13" ht="15">
      <c r="B19" t="s">
        <v>27</v>
      </c>
      <c r="C19" s="30">
        <v>0</v>
      </c>
      <c r="D19" s="30">
        <v>193</v>
      </c>
      <c r="E19" s="30">
        <v>192</v>
      </c>
      <c r="F19" s="30">
        <v>191</v>
      </c>
      <c r="G19" s="30">
        <v>189</v>
      </c>
      <c r="H19" s="30">
        <v>188</v>
      </c>
      <c r="I19" s="30">
        <v>187</v>
      </c>
      <c r="J19" s="30">
        <v>185</v>
      </c>
      <c r="K19" s="30">
        <v>183</v>
      </c>
      <c r="L19" s="30">
        <v>182</v>
      </c>
      <c r="M19" s="30">
        <v>180</v>
      </c>
    </row>
    <row r="20" spans="2:13" ht="15">
      <c r="B20" t="s">
        <v>28</v>
      </c>
      <c r="C20" s="30">
        <v>0</v>
      </c>
      <c r="D20" s="30">
        <v>173</v>
      </c>
      <c r="E20" s="30">
        <v>98</v>
      </c>
      <c r="F20" s="30">
        <v>121</v>
      </c>
      <c r="G20" s="30">
        <v>143</v>
      </c>
      <c r="H20" s="30">
        <v>166</v>
      </c>
      <c r="I20" s="30">
        <v>186</v>
      </c>
      <c r="J20" s="30">
        <v>184</v>
      </c>
      <c r="K20" s="30">
        <v>182</v>
      </c>
      <c r="L20" s="30">
        <v>181</v>
      </c>
      <c r="M20" s="30">
        <v>179</v>
      </c>
    </row>
    <row r="21" spans="2:13" ht="15">
      <c r="B21" t="s">
        <v>12</v>
      </c>
      <c r="C21" s="30">
        <v>200</v>
      </c>
      <c r="D21" s="30"/>
      <c r="E21" s="30"/>
      <c r="F21" s="30"/>
      <c r="G21" s="30"/>
      <c r="H21" s="30"/>
      <c r="I21" s="30"/>
      <c r="J21" s="30"/>
      <c r="K21" s="30"/>
      <c r="L21" s="30"/>
      <c r="M21" s="30"/>
    </row>
    <row r="22" spans="2:15" ht="15">
      <c r="B22" s="1" t="s">
        <v>33</v>
      </c>
      <c r="C22" s="66">
        <f aca="true" t="shared" si="8" ref="C22:M22">SUM(C13:C21)</f>
        <v>6760</v>
      </c>
      <c r="D22" s="66">
        <f t="shared" si="8"/>
        <v>6549</v>
      </c>
      <c r="E22" s="66">
        <f t="shared" si="8"/>
        <v>6448</v>
      </c>
      <c r="F22" s="66">
        <f t="shared" si="8"/>
        <v>6448</v>
      </c>
      <c r="G22" s="66">
        <f t="shared" si="8"/>
        <v>6397</v>
      </c>
      <c r="H22" s="66">
        <f t="shared" si="8"/>
        <v>6396</v>
      </c>
      <c r="I22" s="66">
        <f t="shared" si="8"/>
        <v>6363</v>
      </c>
      <c r="J22" s="66">
        <f t="shared" si="8"/>
        <v>6305</v>
      </c>
      <c r="K22" s="66">
        <f t="shared" si="8"/>
        <v>6249</v>
      </c>
      <c r="L22" s="66">
        <f t="shared" si="8"/>
        <v>6194</v>
      </c>
      <c r="M22" s="66">
        <f t="shared" si="8"/>
        <v>6137</v>
      </c>
      <c r="O22" s="1"/>
    </row>
    <row r="23" spans="3:13" ht="15.75" thickBot="1">
      <c r="C23" s="30"/>
      <c r="D23" s="30"/>
      <c r="E23" s="30"/>
      <c r="F23" s="30"/>
      <c r="G23" s="30"/>
      <c r="H23" s="30"/>
      <c r="I23" s="30"/>
      <c r="J23" s="30"/>
      <c r="K23" s="30"/>
      <c r="L23" s="30"/>
      <c r="M23" s="30"/>
    </row>
    <row r="24" spans="2:13" ht="15.75" thickBot="1">
      <c r="B24" s="197" t="s">
        <v>213</v>
      </c>
      <c r="C24" s="195">
        <v>2016</v>
      </c>
      <c r="D24" s="195">
        <v>2017</v>
      </c>
      <c r="E24" s="195">
        <v>2018</v>
      </c>
      <c r="F24" s="195">
        <v>2019</v>
      </c>
      <c r="G24" s="195">
        <v>2020</v>
      </c>
      <c r="H24" s="195">
        <v>2021</v>
      </c>
      <c r="I24" s="195">
        <v>2022</v>
      </c>
      <c r="J24" s="195">
        <v>2023</v>
      </c>
      <c r="K24" s="195">
        <v>2024</v>
      </c>
      <c r="L24" s="195">
        <v>2025</v>
      </c>
      <c r="M24" s="196">
        <v>2026</v>
      </c>
    </row>
    <row r="25" spans="1:13" ht="15">
      <c r="A25" t="s">
        <v>62</v>
      </c>
      <c r="B25" s="184" t="s">
        <v>21</v>
      </c>
      <c r="C25" s="185">
        <v>41</v>
      </c>
      <c r="D25" s="185">
        <f>+D13/D2*D$35</f>
        <v>14.279411764705882</v>
      </c>
      <c r="E25" s="185">
        <f aca="true" t="shared" si="9" ref="E25:M25">+E13/E2*E$35</f>
        <v>14.220588235294118</v>
      </c>
      <c r="F25" s="185">
        <f t="shared" si="9"/>
        <v>14.169117647058824</v>
      </c>
      <c r="G25" s="185">
        <f t="shared" si="9"/>
        <v>12.007352941176471</v>
      </c>
      <c r="H25" s="185">
        <f t="shared" si="9"/>
        <v>9.963235294117647</v>
      </c>
      <c r="I25" s="185">
        <f t="shared" si="9"/>
        <v>7.897058823529412</v>
      </c>
      <c r="J25" s="185">
        <f t="shared" si="9"/>
        <v>5.867647058823529</v>
      </c>
      <c r="K25" s="185">
        <f t="shared" si="9"/>
        <v>3.875</v>
      </c>
      <c r="L25" s="185">
        <f t="shared" si="9"/>
        <v>1.911764705882353</v>
      </c>
      <c r="M25" s="185">
        <f t="shared" si="9"/>
        <v>0</v>
      </c>
    </row>
    <row r="26" spans="1:13" ht="15">
      <c r="A26" t="s">
        <v>62</v>
      </c>
      <c r="B26" s="184" t="s">
        <v>22</v>
      </c>
      <c r="C26" s="185"/>
      <c r="D26" s="185">
        <f>+D14/D3*D35</f>
        <v>17.526666666666667</v>
      </c>
      <c r="E26" s="185">
        <f aca="true" t="shared" si="10" ref="E26:M26">+E14/E3*E35</f>
        <v>17.46</v>
      </c>
      <c r="F26" s="185">
        <f t="shared" si="10"/>
        <v>17.393333333333334</v>
      </c>
      <c r="G26" s="185">
        <f t="shared" si="10"/>
        <v>17.92</v>
      </c>
      <c r="H26" s="185">
        <f t="shared" si="10"/>
        <v>19.66</v>
      </c>
      <c r="I26" s="185">
        <f t="shared" si="10"/>
        <v>21.286666666666665</v>
      </c>
      <c r="J26" s="185">
        <f t="shared" si="10"/>
        <v>22.873333333333335</v>
      </c>
      <c r="K26" s="185">
        <f t="shared" si="10"/>
        <v>24.433333333333334</v>
      </c>
      <c r="L26" s="185">
        <f t="shared" si="10"/>
        <v>25.96</v>
      </c>
      <c r="M26" s="185">
        <f t="shared" si="10"/>
        <v>27.446666666666665</v>
      </c>
    </row>
    <row r="27" spans="1:13" ht="15">
      <c r="A27" t="s">
        <v>63</v>
      </c>
      <c r="B27" s="184" t="s">
        <v>23</v>
      </c>
      <c r="C27" s="186">
        <v>22300</v>
      </c>
      <c r="D27" s="186">
        <f>+D15/D4*1000000*D35</f>
        <v>43518.51851851852</v>
      </c>
      <c r="E27" s="186">
        <f aca="true" t="shared" si="11" ref="E27:M27">+E15/E4*1000000*E35</f>
        <v>43370.37037037037</v>
      </c>
      <c r="F27" s="186">
        <f t="shared" si="11"/>
        <v>43185.18518518519</v>
      </c>
      <c r="G27" s="186">
        <f t="shared" si="11"/>
        <v>48074.07407407407</v>
      </c>
      <c r="H27" s="186">
        <f t="shared" si="11"/>
        <v>47888.88888888889</v>
      </c>
      <c r="I27" s="186">
        <f t="shared" si="11"/>
        <v>47481.48148148148</v>
      </c>
      <c r="J27" s="186">
        <f t="shared" si="11"/>
        <v>47074.07407407407</v>
      </c>
      <c r="K27" s="186">
        <f t="shared" si="11"/>
        <v>46629.629629629635</v>
      </c>
      <c r="L27" s="186">
        <f t="shared" si="11"/>
        <v>46222.22222222222</v>
      </c>
      <c r="M27" s="186">
        <f t="shared" si="11"/>
        <v>45814.81481481482</v>
      </c>
    </row>
    <row r="28" spans="1:13" ht="15">
      <c r="A28" t="s">
        <v>63</v>
      </c>
      <c r="B28" s="184" t="s">
        <v>24</v>
      </c>
      <c r="C28" s="187">
        <v>44600</v>
      </c>
      <c r="D28" s="186">
        <f>+D16/D5*1000000*D35</f>
        <v>70500</v>
      </c>
      <c r="E28" s="186">
        <f aca="true" t="shared" si="12" ref="E28:M28">+E16/E5*1000000*E35</f>
        <v>70000</v>
      </c>
      <c r="F28" s="186">
        <f t="shared" si="12"/>
        <v>70000</v>
      </c>
      <c r="G28" s="186">
        <f t="shared" si="12"/>
        <v>78000</v>
      </c>
      <c r="H28" s="186">
        <f t="shared" si="12"/>
        <v>77500</v>
      </c>
      <c r="I28" s="186">
        <f t="shared" si="12"/>
        <v>77000</v>
      </c>
      <c r="J28" s="186">
        <f t="shared" si="12"/>
        <v>76000</v>
      </c>
      <c r="K28" s="186">
        <f t="shared" si="12"/>
        <v>75500</v>
      </c>
      <c r="L28" s="186">
        <f t="shared" si="12"/>
        <v>75000</v>
      </c>
      <c r="M28" s="186">
        <f t="shared" si="12"/>
        <v>74000</v>
      </c>
    </row>
    <row r="29" spans="1:14" ht="15">
      <c r="A29" t="s">
        <v>68</v>
      </c>
      <c r="B29" s="184" t="s">
        <v>137</v>
      </c>
      <c r="C29" s="186">
        <f>+C20/C9*1000000</f>
        <v>0</v>
      </c>
      <c r="D29" s="186">
        <f>+(D20-100)/D9*1000000*D35</f>
        <v>48.666666666666664</v>
      </c>
      <c r="E29" s="186">
        <f>+(E20)/E9*1000000*E35</f>
        <v>65.33333333333333</v>
      </c>
      <c r="F29" s="186">
        <f aca="true" t="shared" si="13" ref="F29:M29">+(F20)/F9*1000000*F35</f>
        <v>80.66666666666667</v>
      </c>
      <c r="G29" s="186">
        <f t="shared" si="13"/>
        <v>95.33333333333334</v>
      </c>
      <c r="H29" s="186">
        <f t="shared" si="13"/>
        <v>110.66666666666667</v>
      </c>
      <c r="I29" s="186">
        <f t="shared" si="13"/>
        <v>124</v>
      </c>
      <c r="J29" s="186">
        <f t="shared" si="13"/>
        <v>122.66666666666667</v>
      </c>
      <c r="K29" s="186">
        <f t="shared" si="13"/>
        <v>121.33333333333333</v>
      </c>
      <c r="L29" s="186">
        <f t="shared" si="13"/>
        <v>120.66666666666667</v>
      </c>
      <c r="M29" s="186">
        <f t="shared" si="13"/>
        <v>119.33333333333334</v>
      </c>
      <c r="N29" t="s">
        <v>136</v>
      </c>
    </row>
    <row r="30" spans="1:14" ht="15">
      <c r="A30" t="s">
        <v>62</v>
      </c>
      <c r="B30" s="184" t="s">
        <v>101</v>
      </c>
      <c r="C30" s="188">
        <f>+'Blandað bú'!$B$20</f>
        <v>84.39</v>
      </c>
      <c r="D30" s="188">
        <f>+C30*(1+'Blandað bú'!$D$20)</f>
        <v>84.39</v>
      </c>
      <c r="E30" s="188">
        <f>+D30*(1+'Blandað bú'!$D$20)</f>
        <v>84.39</v>
      </c>
      <c r="F30" s="188">
        <f>+E30*(1+'Blandað bú'!$D$20)</f>
        <v>84.39</v>
      </c>
      <c r="G30" s="188">
        <f>+F30*(1+'Blandað bú'!$D$20)</f>
        <v>84.39</v>
      </c>
      <c r="H30" s="188">
        <f>+G30*(1+'Blandað bú'!$D$20)</f>
        <v>84.39</v>
      </c>
      <c r="I30" s="188">
        <f>+H30*(1+'Blandað bú'!$D$20)</f>
        <v>84.39</v>
      </c>
      <c r="J30" s="188">
        <f>+I30*(1+'Blandað bú'!$D$20)</f>
        <v>84.39</v>
      </c>
      <c r="K30" s="188">
        <f>+J30*(1+'Blandað bú'!$D$20)</f>
        <v>84.39</v>
      </c>
      <c r="L30" s="188">
        <f>+K30*(1+'Blandað bú'!$D$20)</f>
        <v>84.39</v>
      </c>
      <c r="M30" s="189">
        <f>+L30*(1+'Blandað bú'!$D$20)</f>
        <v>84.39</v>
      </c>
      <c r="N30" s="80">
        <f>+M30/C30-1</f>
        <v>0</v>
      </c>
    </row>
    <row r="31" spans="1:14" ht="15">
      <c r="A31" t="s">
        <v>62</v>
      </c>
      <c r="B31" s="184" t="s">
        <v>102</v>
      </c>
      <c r="C31" s="188">
        <v>84.39</v>
      </c>
      <c r="D31" s="188">
        <f>+'Blandað bú'!B21</f>
        <v>40</v>
      </c>
      <c r="E31" s="188">
        <f>+D31*(1+'Blandað bú'!$D$21)</f>
        <v>40</v>
      </c>
      <c r="F31" s="188">
        <f>+E31*(1+'Blandað bú'!$D$21)</f>
        <v>40</v>
      </c>
      <c r="G31" s="188">
        <f>+F31*(1+'Blandað bú'!$D$21)</f>
        <v>40</v>
      </c>
      <c r="H31" s="188">
        <f>+G31*(1+'Blandað bú'!$D$21)</f>
        <v>40</v>
      </c>
      <c r="I31" s="188">
        <f>+H31*(1+'Blandað bú'!$D$21)</f>
        <v>40</v>
      </c>
      <c r="J31" s="188">
        <f>+I31*(1+'Blandað bú'!$D$21)</f>
        <v>40</v>
      </c>
      <c r="K31" s="188">
        <f>+J31*(1+'Blandað bú'!$D$21)</f>
        <v>40</v>
      </c>
      <c r="L31" s="188">
        <f>+K31*(1+'Blandað bú'!$D$21)</f>
        <v>40</v>
      </c>
      <c r="M31" s="189">
        <f>+L31*(1+'Blandað bú'!$D$21)</f>
        <v>40</v>
      </c>
      <c r="N31" s="80">
        <f>+M31/D31-1</f>
        <v>0</v>
      </c>
    </row>
    <row r="32" spans="1:14" ht="15">
      <c r="A32" t="s">
        <v>68</v>
      </c>
      <c r="B32" s="184" t="s">
        <v>138</v>
      </c>
      <c r="C32" s="186">
        <f>+'Blandað bú'!B22</f>
        <v>730</v>
      </c>
      <c r="D32" s="187">
        <f>+C32*(1+'Blandað bú'!$D$22)</f>
        <v>730</v>
      </c>
      <c r="E32" s="187">
        <f>+D32*(1+'Blandað bú'!$D$22)</f>
        <v>730</v>
      </c>
      <c r="F32" s="187">
        <f>+E32*(1+'Blandað bú'!$D$22)</f>
        <v>730</v>
      </c>
      <c r="G32" s="187">
        <f>+F32*(1+'Blandað bú'!$D$22)</f>
        <v>730</v>
      </c>
      <c r="H32" s="187">
        <f>+G32*(1+'Blandað bú'!$D$22)</f>
        <v>730</v>
      </c>
      <c r="I32" s="187">
        <f>+H32*(1+'Blandað bú'!$D$22)</f>
        <v>730</v>
      </c>
      <c r="J32" s="187">
        <f>+I32*(1+'Blandað bú'!$D$22)</f>
        <v>730</v>
      </c>
      <c r="K32" s="187">
        <f>+J32*(1+'Blandað bú'!$D$22)</f>
        <v>730</v>
      </c>
      <c r="L32" s="187">
        <f>+K32*(1+'Blandað bú'!$D$22)</f>
        <v>730</v>
      </c>
      <c r="M32" s="190">
        <f>+L32*(1+'Blandað bú'!$D$22)</f>
        <v>730</v>
      </c>
      <c r="N32" s="80">
        <f>+M32/C32-1</f>
        <v>0</v>
      </c>
    </row>
    <row r="33" spans="1:14" ht="15.75" thickBot="1">
      <c r="A33" t="s">
        <v>68</v>
      </c>
      <c r="B33" s="191" t="s">
        <v>139</v>
      </c>
      <c r="C33" s="192">
        <f>+'Blandað bú'!$B$23</f>
        <v>560</v>
      </c>
      <c r="D33" s="193">
        <f>+C33*(1+'Blandað bú'!$D$23)</f>
        <v>560</v>
      </c>
      <c r="E33" s="193">
        <f>+D33*(1+'Blandað bú'!$D$23)</f>
        <v>560</v>
      </c>
      <c r="F33" s="193">
        <f>+E33*(1+'Blandað bú'!$D$23)</f>
        <v>560</v>
      </c>
      <c r="G33" s="193">
        <f>+F33*(1+'Blandað bú'!$D$23)</f>
        <v>560</v>
      </c>
      <c r="H33" s="193">
        <f>+G33*(1+'Blandað bú'!$D$23)</f>
        <v>560</v>
      </c>
      <c r="I33" s="193">
        <f>+H33*(1+'Blandað bú'!$D$23)</f>
        <v>560</v>
      </c>
      <c r="J33" s="193">
        <f>+I33*(1+'Blandað bú'!$D$23)</f>
        <v>560</v>
      </c>
      <c r="K33" s="193">
        <f>+J33*(1+'Blandað bú'!$D$23)</f>
        <v>560</v>
      </c>
      <c r="L33" s="193">
        <f>+K33*(1+'Blandað bú'!$D$23)</f>
        <v>560</v>
      </c>
      <c r="M33" s="194">
        <f>+L33*(1+'Blandað bú'!$D$23)</f>
        <v>560</v>
      </c>
      <c r="N33" s="80">
        <f>+M33/C33-1</f>
        <v>0</v>
      </c>
    </row>
    <row r="35" spans="1:13" ht="15">
      <c r="A35" s="258">
        <f>'Blandað bú'!$F$20</f>
        <v>0</v>
      </c>
      <c r="B35" s="181" t="s">
        <v>219</v>
      </c>
      <c r="C35" s="260">
        <v>1</v>
      </c>
      <c r="D35" s="260">
        <f>+C35*(1+$A$35)</f>
        <v>1</v>
      </c>
      <c r="E35" s="260">
        <f aca="true" t="shared" si="14" ref="E35:M35">+D35*(1+$A$35)</f>
        <v>1</v>
      </c>
      <c r="F35" s="260">
        <f t="shared" si="14"/>
        <v>1</v>
      </c>
      <c r="G35" s="260">
        <f t="shared" si="14"/>
        <v>1</v>
      </c>
      <c r="H35" s="260">
        <f t="shared" si="14"/>
        <v>1</v>
      </c>
      <c r="I35" s="260">
        <f t="shared" si="14"/>
        <v>1</v>
      </c>
      <c r="J35" s="260">
        <f t="shared" si="14"/>
        <v>1</v>
      </c>
      <c r="K35" s="260">
        <f t="shared" si="14"/>
        <v>1</v>
      </c>
      <c r="L35" s="260">
        <f t="shared" si="14"/>
        <v>1</v>
      </c>
      <c r="M35" s="260">
        <f t="shared" si="14"/>
        <v>1</v>
      </c>
    </row>
  </sheetData>
  <sheetProtection password="F3A3" sheet="1" objects="1" scenarios="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4"/>
  <sheetViews>
    <sheetView zoomScalePageLayoutView="0" workbookViewId="0" topLeftCell="A7">
      <selection activeCell="D23" sqref="D23"/>
    </sheetView>
  </sheetViews>
  <sheetFormatPr defaultColWidth="9.140625" defaultRowHeight="15"/>
  <cols>
    <col min="2" max="2" width="29.00390625" style="0" customWidth="1"/>
    <col min="3" max="3" width="11.421875" style="0" bestFit="1" customWidth="1"/>
    <col min="4" max="13" width="10.421875" style="0" bestFit="1" customWidth="1"/>
  </cols>
  <sheetData>
    <row r="1" ht="15">
      <c r="A1" s="1" t="s">
        <v>46</v>
      </c>
    </row>
    <row r="2" spans="2:13" ht="15">
      <c r="B2" t="s">
        <v>18</v>
      </c>
      <c r="C2" s="31">
        <v>14000</v>
      </c>
      <c r="D2" s="30"/>
      <c r="E2" s="30"/>
      <c r="F2" s="30"/>
      <c r="G2" s="30"/>
      <c r="H2" s="30"/>
      <c r="I2" s="30"/>
      <c r="J2" s="30"/>
      <c r="K2" s="30"/>
      <c r="L2" s="30"/>
      <c r="M2" s="30"/>
    </row>
    <row r="3" spans="2:13" ht="15">
      <c r="B3" t="s">
        <v>19</v>
      </c>
      <c r="C3" s="31">
        <v>100000</v>
      </c>
      <c r="D3" s="30"/>
      <c r="E3" s="30"/>
      <c r="F3" s="30"/>
      <c r="G3" s="30"/>
      <c r="H3" s="30"/>
      <c r="I3" s="30"/>
      <c r="J3" s="30"/>
      <c r="K3" s="30"/>
      <c r="L3" s="30"/>
      <c r="M3" s="30"/>
    </row>
    <row r="4" spans="3:13" ht="15">
      <c r="C4" s="30"/>
      <c r="D4" s="30"/>
      <c r="E4" s="30"/>
      <c r="F4" s="30"/>
      <c r="G4" s="30"/>
      <c r="H4" s="30"/>
      <c r="I4" s="30"/>
      <c r="J4" s="30"/>
      <c r="K4" s="30"/>
      <c r="L4" s="30"/>
      <c r="M4" s="30"/>
    </row>
    <row r="5" spans="3:13" ht="15">
      <c r="C5" s="66">
        <v>2016</v>
      </c>
      <c r="D5" s="66">
        <v>2017</v>
      </c>
      <c r="E5" s="66">
        <v>2018</v>
      </c>
      <c r="F5" s="66">
        <v>2019</v>
      </c>
      <c r="G5" s="66">
        <v>2020</v>
      </c>
      <c r="H5" s="66">
        <v>2021</v>
      </c>
      <c r="I5" s="66">
        <v>2022</v>
      </c>
      <c r="J5" s="66">
        <v>2023</v>
      </c>
      <c r="K5" s="66">
        <v>2024</v>
      </c>
      <c r="L5" s="66">
        <v>2025</v>
      </c>
      <c r="M5" s="66">
        <v>2026</v>
      </c>
    </row>
    <row r="6" spans="2:13" ht="15">
      <c r="B6" t="s">
        <v>47</v>
      </c>
      <c r="C6" s="30"/>
      <c r="D6" s="30">
        <v>519</v>
      </c>
      <c r="E6" s="30">
        <v>503</v>
      </c>
      <c r="F6" s="30">
        <v>486</v>
      </c>
      <c r="G6" s="30">
        <v>467</v>
      </c>
      <c r="H6" s="30">
        <v>450</v>
      </c>
      <c r="I6" s="30">
        <v>432</v>
      </c>
      <c r="J6" s="30">
        <v>414</v>
      </c>
      <c r="K6" s="30">
        <v>396</v>
      </c>
      <c r="L6" s="30">
        <v>378</v>
      </c>
      <c r="M6" s="30">
        <v>359</v>
      </c>
    </row>
    <row r="7" spans="2:13" ht="15">
      <c r="B7" t="s">
        <v>48</v>
      </c>
      <c r="C7" s="30"/>
      <c r="D7" s="30">
        <v>60</v>
      </c>
      <c r="E7" s="30">
        <v>59</v>
      </c>
      <c r="F7" s="30">
        <v>59</v>
      </c>
      <c r="G7" s="30">
        <v>58</v>
      </c>
      <c r="H7" s="30">
        <v>58</v>
      </c>
      <c r="I7" s="30">
        <v>58</v>
      </c>
      <c r="J7" s="30">
        <v>57</v>
      </c>
      <c r="K7" s="30">
        <v>57</v>
      </c>
      <c r="L7" s="30">
        <v>56</v>
      </c>
      <c r="M7" s="30">
        <v>56</v>
      </c>
    </row>
    <row r="8" spans="2:13" ht="15">
      <c r="B8" t="s">
        <v>49</v>
      </c>
      <c r="C8" s="30">
        <v>246</v>
      </c>
      <c r="D8" s="30">
        <v>369</v>
      </c>
      <c r="E8" s="30">
        <v>366</v>
      </c>
      <c r="F8" s="30">
        <v>365</v>
      </c>
      <c r="G8" s="30">
        <v>361</v>
      </c>
      <c r="H8" s="30">
        <v>359</v>
      </c>
      <c r="I8" s="30">
        <v>356</v>
      </c>
      <c r="J8" s="30">
        <v>353</v>
      </c>
      <c r="K8" s="30">
        <v>350</v>
      </c>
      <c r="L8" s="30">
        <v>347</v>
      </c>
      <c r="M8" s="30">
        <v>344</v>
      </c>
    </row>
    <row r="9" spans="2:13" ht="15">
      <c r="B9" t="s">
        <v>50</v>
      </c>
      <c r="C9" s="30"/>
      <c r="D9" s="30">
        <v>128</v>
      </c>
      <c r="E9" s="30">
        <v>128</v>
      </c>
      <c r="F9" s="30">
        <v>128</v>
      </c>
      <c r="G9" s="30">
        <v>128</v>
      </c>
      <c r="H9" s="30">
        <v>128</v>
      </c>
      <c r="I9" s="30">
        <v>128</v>
      </c>
      <c r="J9" s="30">
        <v>128</v>
      </c>
      <c r="K9" s="30">
        <v>128</v>
      </c>
      <c r="L9" s="30">
        <v>128</v>
      </c>
      <c r="M9" s="30">
        <v>128</v>
      </c>
    </row>
    <row r="10" spans="2:13" ht="15">
      <c r="B10" t="s">
        <v>51</v>
      </c>
      <c r="C10" s="30"/>
      <c r="D10" s="30">
        <v>92</v>
      </c>
      <c r="E10" s="30">
        <v>91</v>
      </c>
      <c r="F10" s="30">
        <v>91</v>
      </c>
      <c r="G10" s="30">
        <v>90</v>
      </c>
      <c r="H10" s="30">
        <v>90</v>
      </c>
      <c r="I10" s="30">
        <v>89</v>
      </c>
      <c r="J10" s="30">
        <v>88</v>
      </c>
      <c r="K10" s="30">
        <v>87</v>
      </c>
      <c r="L10" s="30">
        <v>86</v>
      </c>
      <c r="M10" s="30">
        <v>86</v>
      </c>
    </row>
    <row r="11" spans="2:13" ht="15">
      <c r="B11" t="s">
        <v>52</v>
      </c>
      <c r="C11" s="30"/>
      <c r="D11" s="30">
        <v>35</v>
      </c>
      <c r="E11" s="30">
        <v>34</v>
      </c>
      <c r="F11" s="30">
        <v>34</v>
      </c>
      <c r="G11" s="30">
        <v>34</v>
      </c>
      <c r="H11" s="30">
        <v>34</v>
      </c>
      <c r="I11" s="30">
        <v>33</v>
      </c>
      <c r="J11" s="30">
        <v>33</v>
      </c>
      <c r="K11" s="30">
        <v>33</v>
      </c>
      <c r="L11" s="30">
        <v>33</v>
      </c>
      <c r="M11" s="30">
        <v>32</v>
      </c>
    </row>
    <row r="12" spans="2:13" ht="15">
      <c r="B12" t="s">
        <v>53</v>
      </c>
      <c r="C12" s="30"/>
      <c r="D12" s="30">
        <v>15</v>
      </c>
      <c r="E12" s="30">
        <v>15</v>
      </c>
      <c r="F12" s="30">
        <v>15</v>
      </c>
      <c r="G12" s="30">
        <v>15</v>
      </c>
      <c r="H12" s="30">
        <v>14</v>
      </c>
      <c r="I12" s="30">
        <v>14</v>
      </c>
      <c r="J12" s="30">
        <v>14</v>
      </c>
      <c r="K12" s="30">
        <v>14</v>
      </c>
      <c r="L12" s="30">
        <v>14</v>
      </c>
      <c r="M12" s="30">
        <v>14</v>
      </c>
    </row>
    <row r="13" spans="2:13" ht="15">
      <c r="B13" t="s">
        <v>54</v>
      </c>
      <c r="C13" s="30"/>
      <c r="D13" s="30">
        <v>99</v>
      </c>
      <c r="E13" s="30">
        <v>98</v>
      </c>
      <c r="F13" s="30">
        <v>98</v>
      </c>
      <c r="G13" s="30">
        <v>97</v>
      </c>
      <c r="H13" s="30">
        <v>48</v>
      </c>
      <c r="I13" s="30">
        <v>0</v>
      </c>
      <c r="J13" s="30">
        <v>0</v>
      </c>
      <c r="K13" s="30">
        <v>0</v>
      </c>
      <c r="L13" s="30">
        <v>0</v>
      </c>
      <c r="M13" s="30">
        <v>0</v>
      </c>
    </row>
    <row r="14" spans="2:13" ht="15">
      <c r="B14" t="s">
        <v>55</v>
      </c>
      <c r="C14" s="30"/>
      <c r="D14" s="30">
        <v>247</v>
      </c>
      <c r="E14" s="30">
        <v>246</v>
      </c>
      <c r="F14" s="30">
        <v>245</v>
      </c>
      <c r="G14" s="30">
        <v>342</v>
      </c>
      <c r="H14" s="30">
        <v>341</v>
      </c>
      <c r="I14" s="30">
        <v>339</v>
      </c>
      <c r="J14" s="30">
        <v>337</v>
      </c>
      <c r="K14" s="30">
        <v>335</v>
      </c>
      <c r="L14" s="30">
        <v>333</v>
      </c>
      <c r="M14" s="30">
        <v>331</v>
      </c>
    </row>
    <row r="15" spans="2:13" ht="15">
      <c r="B15" t="s">
        <v>56</v>
      </c>
      <c r="C15" s="30"/>
      <c r="D15" s="30">
        <v>30</v>
      </c>
      <c r="E15" s="30">
        <v>30</v>
      </c>
      <c r="F15" s="30">
        <v>29</v>
      </c>
      <c r="G15" s="30">
        <v>29</v>
      </c>
      <c r="H15" s="30">
        <v>29</v>
      </c>
      <c r="I15" s="30">
        <v>29</v>
      </c>
      <c r="J15" s="30">
        <v>28</v>
      </c>
      <c r="K15" s="30">
        <v>28</v>
      </c>
      <c r="L15" s="30">
        <v>28</v>
      </c>
      <c r="M15" s="30">
        <v>28</v>
      </c>
    </row>
    <row r="16" spans="2:13" ht="15">
      <c r="B16" t="s">
        <v>57</v>
      </c>
      <c r="C16" s="30"/>
      <c r="D16" s="30">
        <v>128</v>
      </c>
      <c r="E16" s="30">
        <v>127</v>
      </c>
      <c r="F16" s="30">
        <v>126</v>
      </c>
      <c r="G16" s="30">
        <v>125</v>
      </c>
      <c r="H16" s="30">
        <v>124</v>
      </c>
      <c r="I16" s="30">
        <v>123</v>
      </c>
      <c r="J16" s="30">
        <v>122</v>
      </c>
      <c r="K16" s="30">
        <v>121</v>
      </c>
      <c r="L16" s="30">
        <v>120</v>
      </c>
      <c r="M16" s="30">
        <v>119</v>
      </c>
    </row>
    <row r="17" spans="2:13" ht="15">
      <c r="B17" t="s">
        <v>58</v>
      </c>
      <c r="C17" s="30"/>
      <c r="D17" s="30">
        <v>15</v>
      </c>
      <c r="E17" s="30">
        <v>15</v>
      </c>
      <c r="F17" s="30">
        <v>15</v>
      </c>
      <c r="G17" s="30">
        <v>15</v>
      </c>
      <c r="H17" s="30">
        <v>14</v>
      </c>
      <c r="I17" s="30">
        <v>14</v>
      </c>
      <c r="J17" s="30">
        <v>14</v>
      </c>
      <c r="K17" s="30">
        <v>14</v>
      </c>
      <c r="L17" s="30">
        <v>14</v>
      </c>
      <c r="M17" s="30">
        <v>14</v>
      </c>
    </row>
    <row r="18" spans="2:13" ht="15">
      <c r="B18" t="s">
        <v>59</v>
      </c>
      <c r="C18" s="30"/>
      <c r="D18" s="30">
        <v>7</v>
      </c>
      <c r="E18" s="30">
        <v>7</v>
      </c>
      <c r="F18" s="30">
        <v>7</v>
      </c>
      <c r="G18" s="30">
        <v>7</v>
      </c>
      <c r="H18" s="30">
        <v>7</v>
      </c>
      <c r="I18" s="30">
        <v>7</v>
      </c>
      <c r="J18" s="30">
        <v>7</v>
      </c>
      <c r="K18" s="30">
        <v>7</v>
      </c>
      <c r="L18" s="30">
        <v>7</v>
      </c>
      <c r="M18" s="30">
        <v>6</v>
      </c>
    </row>
    <row r="19" spans="2:13" ht="15">
      <c r="B19" s="1" t="s">
        <v>60</v>
      </c>
      <c r="C19" s="30"/>
      <c r="D19" s="66">
        <f>SUM(D6:D18)</f>
        <v>1744</v>
      </c>
      <c r="E19" s="66">
        <f aca="true" t="shared" si="0" ref="E19:M19">SUM(E6:E18)</f>
        <v>1719</v>
      </c>
      <c r="F19" s="66">
        <f t="shared" si="0"/>
        <v>1698</v>
      </c>
      <c r="G19" s="66">
        <f t="shared" si="0"/>
        <v>1768</v>
      </c>
      <c r="H19" s="66">
        <f t="shared" si="0"/>
        <v>1696</v>
      </c>
      <c r="I19" s="66">
        <f t="shared" si="0"/>
        <v>1622</v>
      </c>
      <c r="J19" s="66">
        <f t="shared" si="0"/>
        <v>1595</v>
      </c>
      <c r="K19" s="66">
        <f t="shared" si="0"/>
        <v>1570</v>
      </c>
      <c r="L19" s="66">
        <f t="shared" si="0"/>
        <v>1544</v>
      </c>
      <c r="M19" s="66">
        <f t="shared" si="0"/>
        <v>1517</v>
      </c>
    </row>
    <row r="20" spans="3:13" ht="15">
      <c r="C20" s="30"/>
      <c r="D20" s="30"/>
      <c r="E20" s="30"/>
      <c r="F20" s="30"/>
      <c r="G20" s="30"/>
      <c r="H20" s="30"/>
      <c r="I20" s="30"/>
      <c r="J20" s="30"/>
      <c r="K20" s="30"/>
      <c r="L20" s="30"/>
      <c r="M20" s="30"/>
    </row>
    <row r="21" spans="3:13" ht="15">
      <c r="C21" s="30"/>
      <c r="D21" s="30"/>
      <c r="E21" s="30"/>
      <c r="F21" s="30"/>
      <c r="G21" s="30"/>
      <c r="H21" s="30"/>
      <c r="I21" s="30"/>
      <c r="J21" s="30"/>
      <c r="K21" s="30"/>
      <c r="L21" s="30"/>
      <c r="M21" s="30"/>
    </row>
    <row r="22" spans="2:13" ht="15">
      <c r="B22" s="181" t="s">
        <v>64</v>
      </c>
      <c r="C22" s="182">
        <f>+C8/$C$2*1000000</f>
        <v>17571.428571428572</v>
      </c>
      <c r="D22" s="182">
        <f>+D8/$C$2*1000000*D44</f>
        <v>26357.142857142855</v>
      </c>
      <c r="E22" s="182">
        <f aca="true" t="shared" si="1" ref="E22:M22">+E8/$C$2*1000000*E44</f>
        <v>26142.85714285714</v>
      </c>
      <c r="F22" s="182">
        <f t="shared" si="1"/>
        <v>26071.428571428572</v>
      </c>
      <c r="G22" s="182">
        <f t="shared" si="1"/>
        <v>25785.714285714286</v>
      </c>
      <c r="H22" s="182">
        <f t="shared" si="1"/>
        <v>25642.857142857145</v>
      </c>
      <c r="I22" s="182">
        <f t="shared" si="1"/>
        <v>25428.571428571428</v>
      </c>
      <c r="J22" s="182">
        <f t="shared" si="1"/>
        <v>25214.285714285714</v>
      </c>
      <c r="K22" s="182">
        <f t="shared" si="1"/>
        <v>25000</v>
      </c>
      <c r="L22" s="182">
        <f t="shared" si="1"/>
        <v>24785.714285714286</v>
      </c>
      <c r="M22" s="182">
        <f t="shared" si="1"/>
        <v>24571.42857142857</v>
      </c>
    </row>
    <row r="23" spans="2:13" ht="15">
      <c r="B23" s="181" t="s">
        <v>65</v>
      </c>
      <c r="C23" s="261"/>
      <c r="D23" s="182">
        <f>+D14/$C$3*1000000*D44</f>
        <v>2470</v>
      </c>
      <c r="E23" s="182">
        <f aca="true" t="shared" si="2" ref="E23:M23">+E14/$C$3*1000000*E44</f>
        <v>2460</v>
      </c>
      <c r="F23" s="182">
        <f t="shared" si="2"/>
        <v>2450</v>
      </c>
      <c r="G23" s="182">
        <f t="shared" si="2"/>
        <v>3420</v>
      </c>
      <c r="H23" s="182">
        <f t="shared" si="2"/>
        <v>3410</v>
      </c>
      <c r="I23" s="182">
        <f t="shared" si="2"/>
        <v>3390</v>
      </c>
      <c r="J23" s="182">
        <f t="shared" si="2"/>
        <v>3370</v>
      </c>
      <c r="K23" s="182">
        <f t="shared" si="2"/>
        <v>3350</v>
      </c>
      <c r="L23" s="182">
        <f t="shared" si="2"/>
        <v>3330</v>
      </c>
      <c r="M23" s="182">
        <f t="shared" si="2"/>
        <v>3310</v>
      </c>
    </row>
    <row r="24" spans="3:13" ht="15">
      <c r="C24" s="30"/>
      <c r="D24" s="30"/>
      <c r="E24" s="30"/>
      <c r="F24" s="30"/>
      <c r="G24" s="30"/>
      <c r="H24" s="30"/>
      <c r="I24" s="30"/>
      <c r="J24" s="30"/>
      <c r="K24" s="30"/>
      <c r="L24" s="30"/>
      <c r="M24" s="30"/>
    </row>
    <row r="25" spans="3:13" ht="15">
      <c r="C25" s="30"/>
      <c r="D25" s="30"/>
      <c r="E25" s="30"/>
      <c r="F25" s="30"/>
      <c r="G25" s="30"/>
      <c r="H25" s="30"/>
      <c r="I25" s="30"/>
      <c r="J25" s="30"/>
      <c r="K25" s="30"/>
      <c r="L25" s="30"/>
      <c r="M25" s="30"/>
    </row>
    <row r="26" spans="2:13" ht="15">
      <c r="B26" t="s">
        <v>106</v>
      </c>
      <c r="C26" s="31">
        <f>+sauðfé!C24</f>
        <v>5010</v>
      </c>
      <c r="D26" s="31">
        <f>+sauðfé!D24</f>
        <v>4933</v>
      </c>
      <c r="E26" s="31">
        <f>+sauðfé!E24</f>
        <v>4915</v>
      </c>
      <c r="F26" s="31">
        <f>+sauðfé!F24</f>
        <v>4895</v>
      </c>
      <c r="G26" s="31">
        <f>+sauðfé!G24</f>
        <v>4693</v>
      </c>
      <c r="H26" s="31">
        <f>+sauðfé!H24</f>
        <v>4675</v>
      </c>
      <c r="I26" s="31">
        <f>+sauðfé!I24</f>
        <v>4632</v>
      </c>
      <c r="J26" s="31">
        <f>+sauðfé!J24</f>
        <v>4590</v>
      </c>
      <c r="K26" s="31">
        <f>+sauðfé!K24</f>
        <v>4552</v>
      </c>
      <c r="L26" s="31">
        <f>+sauðfé!L24</f>
        <v>4511</v>
      </c>
      <c r="M26" s="31">
        <f>+sauðfé!M24</f>
        <v>4469</v>
      </c>
    </row>
    <row r="27" spans="2:13" ht="15">
      <c r="B27" t="s">
        <v>20</v>
      </c>
      <c r="C27" s="31">
        <f>+nautgripir!C22</f>
        <v>6760</v>
      </c>
      <c r="D27" s="31">
        <f>+nautgripir!D22</f>
        <v>6549</v>
      </c>
      <c r="E27" s="31">
        <f>+nautgripir!E22</f>
        <v>6448</v>
      </c>
      <c r="F27" s="31">
        <f>+nautgripir!F22</f>
        <v>6448</v>
      </c>
      <c r="G27" s="31">
        <f>+nautgripir!G22</f>
        <v>6397</v>
      </c>
      <c r="H27" s="31">
        <f>+nautgripir!H22</f>
        <v>6396</v>
      </c>
      <c r="I27" s="31">
        <f>+nautgripir!I22</f>
        <v>6363</v>
      </c>
      <c r="J27" s="31">
        <f>+nautgripir!J22</f>
        <v>6305</v>
      </c>
      <c r="K27" s="31">
        <f>+nautgripir!K22</f>
        <v>6249</v>
      </c>
      <c r="L27" s="31">
        <f>+nautgripir!L22</f>
        <v>6194</v>
      </c>
      <c r="M27" s="31">
        <f>+nautgripir!M22</f>
        <v>6137</v>
      </c>
    </row>
    <row r="28" spans="2:13" ht="15">
      <c r="B28" t="s">
        <v>74</v>
      </c>
      <c r="C28" s="31">
        <f>+Garðyrkja!C9</f>
        <v>0</v>
      </c>
      <c r="D28" s="31">
        <f>+Garðyrkja!D9</f>
        <v>552</v>
      </c>
      <c r="E28" s="31">
        <f>+Garðyrkja!E9</f>
        <v>551</v>
      </c>
      <c r="F28" s="31">
        <f>+Garðyrkja!F9</f>
        <v>550</v>
      </c>
      <c r="G28" s="31">
        <f>+Garðyrkja!G9</f>
        <v>546</v>
      </c>
      <c r="H28" s="31">
        <f>+Garðyrkja!H9</f>
        <v>545</v>
      </c>
      <c r="I28" s="31">
        <f>+Garðyrkja!I9</f>
        <v>543</v>
      </c>
      <c r="J28" s="31">
        <f>+Garðyrkja!J9</f>
        <v>541</v>
      </c>
      <c r="K28" s="31">
        <f>+Garðyrkja!K9</f>
        <v>538</v>
      </c>
      <c r="L28" s="31">
        <f>+Garðyrkja!L9</f>
        <v>536</v>
      </c>
      <c r="M28" s="31">
        <f>+Garðyrkja!M9</f>
        <v>534</v>
      </c>
    </row>
    <row r="29" spans="3:13" ht="15">
      <c r="C29" s="30"/>
      <c r="D29" s="30"/>
      <c r="E29" s="30"/>
      <c r="F29" s="30"/>
      <c r="G29" s="30"/>
      <c r="H29" s="30"/>
      <c r="I29" s="30"/>
      <c r="J29" s="30"/>
      <c r="K29" s="30"/>
      <c r="L29" s="30"/>
      <c r="M29" s="30"/>
    </row>
    <row r="30" spans="2:13" ht="15">
      <c r="B30" t="s">
        <v>107</v>
      </c>
      <c r="C30" s="30">
        <f>6656.1+4932.8+592.6+549.3+116</f>
        <v>12846.800000000001</v>
      </c>
      <c r="D30" s="50">
        <f>SUM(D26:D29)+D19</f>
        <v>13778</v>
      </c>
      <c r="E30" s="50">
        <f aca="true" t="shared" si="3" ref="E30:M30">SUM(E26:E29)+E19</f>
        <v>13633</v>
      </c>
      <c r="F30" s="50">
        <f t="shared" si="3"/>
        <v>13591</v>
      </c>
      <c r="G30" s="50">
        <f t="shared" si="3"/>
        <v>13404</v>
      </c>
      <c r="H30" s="50">
        <f t="shared" si="3"/>
        <v>13312</v>
      </c>
      <c r="I30" s="50">
        <f t="shared" si="3"/>
        <v>13160</v>
      </c>
      <c r="J30" s="50">
        <f t="shared" si="3"/>
        <v>13031</v>
      </c>
      <c r="K30" s="50">
        <f t="shared" si="3"/>
        <v>12909</v>
      </c>
      <c r="L30" s="50">
        <f t="shared" si="3"/>
        <v>12785</v>
      </c>
      <c r="M30" s="50">
        <f t="shared" si="3"/>
        <v>12657</v>
      </c>
    </row>
    <row r="31" spans="2:13" ht="15">
      <c r="B31" t="s">
        <v>144</v>
      </c>
      <c r="C31" s="30"/>
      <c r="D31" s="31">
        <v>0</v>
      </c>
      <c r="E31" s="50">
        <f>+D31-$D$31/9</f>
        <v>0</v>
      </c>
      <c r="F31" s="50">
        <f aca="true" t="shared" si="4" ref="F31:M31">+E31-$D$31/9</f>
        <v>0</v>
      </c>
      <c r="G31" s="50">
        <f t="shared" si="4"/>
        <v>0</v>
      </c>
      <c r="H31" s="50">
        <f t="shared" si="4"/>
        <v>0</v>
      </c>
      <c r="I31" s="50">
        <f t="shared" si="4"/>
        <v>0</v>
      </c>
      <c r="J31" s="50">
        <f t="shared" si="4"/>
        <v>0</v>
      </c>
      <c r="K31" s="50">
        <f t="shared" si="4"/>
        <v>0</v>
      </c>
      <c r="L31" s="50">
        <f t="shared" si="4"/>
        <v>0</v>
      </c>
      <c r="M31" s="50">
        <f t="shared" si="4"/>
        <v>0</v>
      </c>
    </row>
    <row r="32" spans="2:13" ht="15">
      <c r="B32" t="s">
        <v>145</v>
      </c>
      <c r="C32" s="30"/>
      <c r="D32" s="69">
        <f>+D31/D30</f>
        <v>0</v>
      </c>
      <c r="E32" s="69">
        <f aca="true" t="shared" si="5" ref="E32:M32">+E31/E30</f>
        <v>0</v>
      </c>
      <c r="F32" s="69">
        <f t="shared" si="5"/>
        <v>0</v>
      </c>
      <c r="G32" s="69">
        <f t="shared" si="5"/>
        <v>0</v>
      </c>
      <c r="H32" s="69">
        <f t="shared" si="5"/>
        <v>0</v>
      </c>
      <c r="I32" s="69">
        <f t="shared" si="5"/>
        <v>0</v>
      </c>
      <c r="J32" s="69">
        <f t="shared" si="5"/>
        <v>0</v>
      </c>
      <c r="K32" s="69">
        <f t="shared" si="5"/>
        <v>0</v>
      </c>
      <c r="L32" s="69">
        <f t="shared" si="5"/>
        <v>0</v>
      </c>
      <c r="M32" s="69">
        <f t="shared" si="5"/>
        <v>0</v>
      </c>
    </row>
    <row r="33" spans="2:13" ht="15">
      <c r="B33" t="s">
        <v>108</v>
      </c>
      <c r="C33" s="30"/>
      <c r="D33" s="69">
        <f>100%-D32</f>
        <v>1</v>
      </c>
      <c r="E33" s="69">
        <f aca="true" t="shared" si="6" ref="E33:M33">100%-E32</f>
        <v>1</v>
      </c>
      <c r="F33" s="69">
        <f t="shared" si="6"/>
        <v>1</v>
      </c>
      <c r="G33" s="69">
        <f t="shared" si="6"/>
        <v>1</v>
      </c>
      <c r="H33" s="69">
        <f t="shared" si="6"/>
        <v>1</v>
      </c>
      <c r="I33" s="69">
        <f t="shared" si="6"/>
        <v>1</v>
      </c>
      <c r="J33" s="69">
        <f t="shared" si="6"/>
        <v>1</v>
      </c>
      <c r="K33" s="69">
        <f t="shared" si="6"/>
        <v>1</v>
      </c>
      <c r="L33" s="69">
        <f t="shared" si="6"/>
        <v>1</v>
      </c>
      <c r="M33" s="69">
        <f t="shared" si="6"/>
        <v>1</v>
      </c>
    </row>
    <row r="34" spans="3:13" ht="15">
      <c r="C34" s="30"/>
      <c r="D34" s="69"/>
      <c r="E34" s="69"/>
      <c r="F34" s="69"/>
      <c r="G34" s="69"/>
      <c r="H34" s="69"/>
      <c r="I34" s="69"/>
      <c r="J34" s="69"/>
      <c r="K34" s="69"/>
      <c r="L34" s="69"/>
      <c r="M34" s="69"/>
    </row>
    <row r="35" spans="2:13" ht="15">
      <c r="B35" s="1" t="s">
        <v>35</v>
      </c>
      <c r="C35" s="30"/>
      <c r="D35" s="30"/>
      <c r="E35" s="30"/>
      <c r="F35" s="30"/>
      <c r="G35" s="30"/>
      <c r="H35" s="30"/>
      <c r="I35" s="30"/>
      <c r="J35" s="30"/>
      <c r="K35" s="30"/>
      <c r="L35" s="30"/>
      <c r="M35" s="30"/>
    </row>
    <row r="36" spans="2:13" ht="15">
      <c r="B36" t="s">
        <v>106</v>
      </c>
      <c r="C36" s="30"/>
      <c r="D36" s="70">
        <f>+D26/D30</f>
        <v>0.3580345478298737</v>
      </c>
      <c r="E36" s="70">
        <f aca="true" t="shared" si="7" ref="E36:M36">+E26/E30</f>
        <v>0.360522262157999</v>
      </c>
      <c r="F36" s="70">
        <f t="shared" si="7"/>
        <v>0.36016481495107056</v>
      </c>
      <c r="G36" s="70">
        <f t="shared" si="7"/>
        <v>0.35011936735302895</v>
      </c>
      <c r="H36" s="70">
        <f t="shared" si="7"/>
        <v>0.35118689903846156</v>
      </c>
      <c r="I36" s="70">
        <f t="shared" si="7"/>
        <v>0.3519756838905775</v>
      </c>
      <c r="J36" s="70">
        <f t="shared" si="7"/>
        <v>0.35223697337119175</v>
      </c>
      <c r="K36" s="70">
        <f t="shared" si="7"/>
        <v>0.35262220156479973</v>
      </c>
      <c r="L36" s="70">
        <f t="shared" si="7"/>
        <v>0.3528353539303872</v>
      </c>
      <c r="M36" s="70">
        <f t="shared" si="7"/>
        <v>0.3530852492691791</v>
      </c>
    </row>
    <row r="37" spans="2:13" ht="15">
      <c r="B37" t="s">
        <v>20</v>
      </c>
      <c r="C37" s="30"/>
      <c r="D37" s="70">
        <f>+D27/D30</f>
        <v>0.4753229786616345</v>
      </c>
      <c r="E37" s="70">
        <f aca="true" t="shared" si="8" ref="E37:M37">+E27/E30</f>
        <v>0.47296999926648575</v>
      </c>
      <c r="F37" s="70">
        <f t="shared" si="8"/>
        <v>0.47443160915311605</v>
      </c>
      <c r="G37" s="70">
        <f t="shared" si="8"/>
        <v>0.47724559832885705</v>
      </c>
      <c r="H37" s="70">
        <f t="shared" si="8"/>
        <v>0.48046875</v>
      </c>
      <c r="I37" s="70">
        <f t="shared" si="8"/>
        <v>0.48351063829787233</v>
      </c>
      <c r="J37" s="70">
        <f t="shared" si="8"/>
        <v>0.48384621287698565</v>
      </c>
      <c r="K37" s="70">
        <f t="shared" si="8"/>
        <v>0.48408087380897047</v>
      </c>
      <c r="L37" s="70">
        <f t="shared" si="8"/>
        <v>0.4844739929605006</v>
      </c>
      <c r="M37" s="70">
        <f t="shared" si="8"/>
        <v>0.48487003239314214</v>
      </c>
    </row>
    <row r="38" spans="2:13" ht="15">
      <c r="B38" t="s">
        <v>74</v>
      </c>
      <c r="C38" s="30"/>
      <c r="D38" s="70">
        <f>+D28/D30</f>
        <v>0.04006386993758165</v>
      </c>
      <c r="E38" s="70">
        <f aca="true" t="shared" si="9" ref="E38:M38">+E28/E30</f>
        <v>0.04041663610357221</v>
      </c>
      <c r="F38" s="70">
        <f t="shared" si="9"/>
        <v>0.040467956736075346</v>
      </c>
      <c r="G38" s="70">
        <f t="shared" si="9"/>
        <v>0.04073410922112802</v>
      </c>
      <c r="H38" s="70">
        <f t="shared" si="9"/>
        <v>0.040940504807692304</v>
      </c>
      <c r="I38" s="70">
        <f t="shared" si="9"/>
        <v>0.04126139817629179</v>
      </c>
      <c r="J38" s="70">
        <f t="shared" si="9"/>
        <v>0.04151638400736705</v>
      </c>
      <c r="K38" s="70">
        <f t="shared" si="9"/>
        <v>0.04167634983344953</v>
      </c>
      <c r="L38" s="70">
        <f t="shared" si="9"/>
        <v>0.04192412983965585</v>
      </c>
      <c r="M38" s="70">
        <f t="shared" si="9"/>
        <v>0.04219009243896658</v>
      </c>
    </row>
    <row r="39" spans="2:13" ht="15">
      <c r="B39" t="s">
        <v>91</v>
      </c>
      <c r="C39" s="30"/>
      <c r="D39" s="70">
        <f>+D19/D30</f>
        <v>0.12657860357091014</v>
      </c>
      <c r="E39" s="70">
        <f aca="true" t="shared" si="10" ref="E39:M39">+E19/E30</f>
        <v>0.12609110247194308</v>
      </c>
      <c r="F39" s="70">
        <f t="shared" si="10"/>
        <v>0.12493561915973807</v>
      </c>
      <c r="G39" s="70">
        <f t="shared" si="10"/>
        <v>0.13190092509698598</v>
      </c>
      <c r="H39" s="70">
        <f t="shared" si="10"/>
        <v>0.12740384615384615</v>
      </c>
      <c r="I39" s="70">
        <f t="shared" si="10"/>
        <v>0.12325227963525835</v>
      </c>
      <c r="J39" s="70">
        <f t="shared" si="10"/>
        <v>0.12240042974445553</v>
      </c>
      <c r="K39" s="70">
        <f t="shared" si="10"/>
        <v>0.12162057479278023</v>
      </c>
      <c r="L39" s="70">
        <f t="shared" si="10"/>
        <v>0.12076652326945639</v>
      </c>
      <c r="M39" s="70">
        <f t="shared" si="10"/>
        <v>0.11985462589871218</v>
      </c>
    </row>
    <row r="40" spans="3:13" ht="15">
      <c r="C40" s="30"/>
      <c r="D40" s="71">
        <f>SUM(D36:D39)</f>
        <v>0.9999999999999999</v>
      </c>
      <c r="E40" s="71">
        <f aca="true" t="shared" si="11" ref="E40:M40">SUM(E36:E39)</f>
        <v>1</v>
      </c>
      <c r="F40" s="71">
        <f t="shared" si="11"/>
        <v>1</v>
      </c>
      <c r="G40" s="71">
        <f t="shared" si="11"/>
        <v>1</v>
      </c>
      <c r="H40" s="71">
        <f t="shared" si="11"/>
        <v>1</v>
      </c>
      <c r="I40" s="71">
        <f t="shared" si="11"/>
        <v>1</v>
      </c>
      <c r="J40" s="71">
        <f t="shared" si="11"/>
        <v>1</v>
      </c>
      <c r="K40" s="71">
        <f t="shared" si="11"/>
        <v>0.9999999999999999</v>
      </c>
      <c r="L40" s="71">
        <f t="shared" si="11"/>
        <v>1</v>
      </c>
      <c r="M40" s="71">
        <f t="shared" si="11"/>
        <v>1</v>
      </c>
    </row>
    <row r="42" spans="2:13" ht="15">
      <c r="B42" t="s">
        <v>159</v>
      </c>
      <c r="C42" s="3">
        <v>1</v>
      </c>
      <c r="D42" s="106">
        <v>1</v>
      </c>
      <c r="E42" s="106">
        <f>E30/$D$30</f>
        <v>0.9894759761939323</v>
      </c>
      <c r="F42" s="106">
        <f aca="true" t="shared" si="12" ref="F42:L42">F30/$D$30</f>
        <v>0.986427638263899</v>
      </c>
      <c r="G42" s="106">
        <f t="shared" si="12"/>
        <v>0.9728552765277979</v>
      </c>
      <c r="H42" s="106">
        <f t="shared" si="12"/>
        <v>0.9661779648715343</v>
      </c>
      <c r="I42" s="106">
        <f t="shared" si="12"/>
        <v>0.9551458847437945</v>
      </c>
      <c r="J42" s="106">
        <f t="shared" si="12"/>
        <v>0.9457831325301205</v>
      </c>
      <c r="K42" s="106">
        <f t="shared" si="12"/>
        <v>0.9369284366381188</v>
      </c>
      <c r="L42" s="106">
        <f t="shared" si="12"/>
        <v>0.9279285817970678</v>
      </c>
      <c r="M42" s="106">
        <f>M30/$D$30</f>
        <v>0.9186384090579184</v>
      </c>
    </row>
    <row r="44" spans="1:13" ht="15">
      <c r="A44" s="258">
        <f>'Blandað bú'!$F$20</f>
        <v>0</v>
      </c>
      <c r="B44" s="181" t="s">
        <v>219</v>
      </c>
      <c r="C44" s="260">
        <v>1</v>
      </c>
      <c r="D44" s="260">
        <f>+C44*(1+$A$44)</f>
        <v>1</v>
      </c>
      <c r="E44" s="260">
        <f aca="true" t="shared" si="13" ref="E44:M44">+D44*(1+$A$44)</f>
        <v>1</v>
      </c>
      <c r="F44" s="260">
        <f t="shared" si="13"/>
        <v>1</v>
      </c>
      <c r="G44" s="260">
        <f t="shared" si="13"/>
        <v>1</v>
      </c>
      <c r="H44" s="260">
        <f t="shared" si="13"/>
        <v>1</v>
      </c>
      <c r="I44" s="260">
        <f t="shared" si="13"/>
        <v>1</v>
      </c>
      <c r="J44" s="260">
        <f t="shared" si="13"/>
        <v>1</v>
      </c>
      <c r="K44" s="260">
        <f t="shared" si="13"/>
        <v>1</v>
      </c>
      <c r="L44" s="260">
        <f t="shared" si="13"/>
        <v>1</v>
      </c>
      <c r="M44" s="260">
        <f t="shared" si="13"/>
        <v>1</v>
      </c>
    </row>
  </sheetData>
  <sheetProtection password="F3A3" sheet="1" objects="1" scenarios="1"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35"/>
  <sheetViews>
    <sheetView zoomScalePageLayoutView="0" workbookViewId="0" topLeftCell="A16">
      <selection activeCell="M23" sqref="M23"/>
    </sheetView>
  </sheetViews>
  <sheetFormatPr defaultColWidth="9.140625" defaultRowHeight="15"/>
  <cols>
    <col min="2" max="2" width="18.00390625" style="0" customWidth="1"/>
    <col min="3" max="3" width="11.140625" style="0" bestFit="1" customWidth="1"/>
    <col min="4" max="4" width="14.28125" style="0" bestFit="1" customWidth="1"/>
    <col min="5" max="13" width="10.140625" style="0" bestFit="1" customWidth="1"/>
  </cols>
  <sheetData>
    <row r="1" ht="15">
      <c r="A1" s="1" t="s">
        <v>74</v>
      </c>
    </row>
    <row r="2" spans="2:13" ht="15">
      <c r="B2" s="201" t="s">
        <v>78</v>
      </c>
      <c r="C2" s="202">
        <v>0.49</v>
      </c>
      <c r="D2" s="30"/>
      <c r="E2" s="30"/>
      <c r="F2" s="30"/>
      <c r="G2" s="30"/>
      <c r="H2" s="30"/>
      <c r="I2" s="30"/>
      <c r="J2" s="30"/>
      <c r="K2" s="30"/>
      <c r="L2" s="30"/>
      <c r="M2" s="30"/>
    </row>
    <row r="3" spans="2:13" ht="15">
      <c r="B3" s="201" t="s">
        <v>79</v>
      </c>
      <c r="C3" s="202">
        <v>0.37</v>
      </c>
      <c r="D3" s="30"/>
      <c r="E3" s="30"/>
      <c r="F3" s="30"/>
      <c r="G3" s="30"/>
      <c r="H3" s="30"/>
      <c r="I3" s="30"/>
      <c r="J3" s="30"/>
      <c r="K3" s="30"/>
      <c r="L3" s="30"/>
      <c r="M3" s="30"/>
    </row>
    <row r="4" spans="2:13" ht="15">
      <c r="B4" s="201" t="s">
        <v>80</v>
      </c>
      <c r="C4" s="202">
        <v>0.14</v>
      </c>
      <c r="D4" s="30"/>
      <c r="E4" s="30"/>
      <c r="F4" s="30"/>
      <c r="G4" s="30"/>
      <c r="H4" s="30"/>
      <c r="I4" s="30"/>
      <c r="J4" s="30"/>
      <c r="K4" s="30"/>
      <c r="L4" s="30"/>
      <c r="M4" s="30"/>
    </row>
    <row r="5" spans="2:13" ht="15.75" thickBot="1">
      <c r="B5" s="30"/>
      <c r="C5" s="30"/>
      <c r="D5" s="30"/>
      <c r="E5" s="30"/>
      <c r="F5" s="30"/>
      <c r="G5" s="30"/>
      <c r="H5" s="30"/>
      <c r="I5" s="30"/>
      <c r="J5" s="30"/>
      <c r="K5" s="30"/>
      <c r="L5" s="30"/>
      <c r="M5" s="30"/>
    </row>
    <row r="6" spans="2:13" ht="15">
      <c r="B6" s="203"/>
      <c r="C6" s="204">
        <v>2016</v>
      </c>
      <c r="D6" s="204">
        <v>2017</v>
      </c>
      <c r="E6" s="204">
        <v>2018</v>
      </c>
      <c r="F6" s="204">
        <v>2019</v>
      </c>
      <c r="G6" s="204">
        <v>2020</v>
      </c>
      <c r="H6" s="204">
        <v>2021</v>
      </c>
      <c r="I6" s="204">
        <v>2022</v>
      </c>
      <c r="J6" s="204">
        <v>2023</v>
      </c>
      <c r="K6" s="204">
        <v>2024</v>
      </c>
      <c r="L6" s="204">
        <v>2025</v>
      </c>
      <c r="M6" s="205">
        <v>2026</v>
      </c>
    </row>
    <row r="7" spans="2:13" ht="15">
      <c r="B7" s="206" t="s">
        <v>75</v>
      </c>
      <c r="C7" s="141"/>
      <c r="D7" s="141">
        <v>274</v>
      </c>
      <c r="E7" s="141">
        <v>273</v>
      </c>
      <c r="F7" s="141">
        <v>272</v>
      </c>
      <c r="G7" s="141">
        <v>268</v>
      </c>
      <c r="H7" s="141">
        <v>267</v>
      </c>
      <c r="I7" s="141">
        <v>265</v>
      </c>
      <c r="J7" s="141">
        <v>263</v>
      </c>
      <c r="K7" s="141">
        <v>260</v>
      </c>
      <c r="L7" s="141">
        <v>258</v>
      </c>
      <c r="M7" s="162">
        <v>256</v>
      </c>
    </row>
    <row r="8" spans="2:13" ht="15">
      <c r="B8" s="206" t="s">
        <v>76</v>
      </c>
      <c r="C8" s="141"/>
      <c r="D8" s="141">
        <v>278</v>
      </c>
      <c r="E8" s="141">
        <v>278</v>
      </c>
      <c r="F8" s="141">
        <v>278</v>
      </c>
      <c r="G8" s="141">
        <v>278</v>
      </c>
      <c r="H8" s="141">
        <v>278</v>
      </c>
      <c r="I8" s="141">
        <v>278</v>
      </c>
      <c r="J8" s="141">
        <v>278</v>
      </c>
      <c r="K8" s="141">
        <v>278</v>
      </c>
      <c r="L8" s="141">
        <v>278</v>
      </c>
      <c r="M8" s="162">
        <v>278</v>
      </c>
    </row>
    <row r="9" spans="2:13" ht="15">
      <c r="B9" s="206" t="s">
        <v>77</v>
      </c>
      <c r="C9" s="207">
        <f>SUM(C7:C8)</f>
        <v>0</v>
      </c>
      <c r="D9" s="207">
        <f aca="true" t="shared" si="0" ref="D9:M9">SUM(D7:D8)</f>
        <v>552</v>
      </c>
      <c r="E9" s="207">
        <f t="shared" si="0"/>
        <v>551</v>
      </c>
      <c r="F9" s="207">
        <f t="shared" si="0"/>
        <v>550</v>
      </c>
      <c r="G9" s="207">
        <f t="shared" si="0"/>
        <v>546</v>
      </c>
      <c r="H9" s="207">
        <f t="shared" si="0"/>
        <v>545</v>
      </c>
      <c r="I9" s="207">
        <f t="shared" si="0"/>
        <v>543</v>
      </c>
      <c r="J9" s="207">
        <f t="shared" si="0"/>
        <v>541</v>
      </c>
      <c r="K9" s="207">
        <f t="shared" si="0"/>
        <v>538</v>
      </c>
      <c r="L9" s="207">
        <f t="shared" si="0"/>
        <v>536</v>
      </c>
      <c r="M9" s="208">
        <f t="shared" si="0"/>
        <v>534</v>
      </c>
    </row>
    <row r="10" spans="2:13" ht="15">
      <c r="B10" s="206"/>
      <c r="C10" s="141"/>
      <c r="D10" s="141"/>
      <c r="E10" s="141"/>
      <c r="F10" s="141"/>
      <c r="G10" s="141"/>
      <c r="H10" s="141"/>
      <c r="I10" s="141"/>
      <c r="J10" s="141"/>
      <c r="K10" s="141"/>
      <c r="L10" s="141"/>
      <c r="M10" s="162"/>
    </row>
    <row r="11" spans="2:13" ht="15">
      <c r="B11" s="206" t="s">
        <v>81</v>
      </c>
      <c r="C11" s="141"/>
      <c r="D11" s="141"/>
      <c r="E11" s="141"/>
      <c r="F11" s="141"/>
      <c r="G11" s="141"/>
      <c r="H11" s="141"/>
      <c r="I11" s="141"/>
      <c r="J11" s="141"/>
      <c r="K11" s="141"/>
      <c r="L11" s="141"/>
      <c r="M11" s="162"/>
    </row>
    <row r="12" spans="2:13" ht="15">
      <c r="B12" s="206" t="s">
        <v>78</v>
      </c>
      <c r="C12" s="141"/>
      <c r="D12" s="209">
        <f>+D7*$C$2</f>
        <v>134.26</v>
      </c>
      <c r="E12" s="209">
        <f aca="true" t="shared" si="1" ref="E12:M12">+E7*$C$2</f>
        <v>133.77</v>
      </c>
      <c r="F12" s="209">
        <f t="shared" si="1"/>
        <v>133.28</v>
      </c>
      <c r="G12" s="209">
        <f t="shared" si="1"/>
        <v>131.32</v>
      </c>
      <c r="H12" s="209">
        <f t="shared" si="1"/>
        <v>130.82999999999998</v>
      </c>
      <c r="I12" s="209">
        <f t="shared" si="1"/>
        <v>129.85</v>
      </c>
      <c r="J12" s="209">
        <f t="shared" si="1"/>
        <v>128.87</v>
      </c>
      <c r="K12" s="209">
        <f t="shared" si="1"/>
        <v>127.39999999999999</v>
      </c>
      <c r="L12" s="209">
        <f t="shared" si="1"/>
        <v>126.42</v>
      </c>
      <c r="M12" s="210">
        <f t="shared" si="1"/>
        <v>125.44</v>
      </c>
    </row>
    <row r="13" spans="2:13" ht="15">
      <c r="B13" s="206" t="s">
        <v>79</v>
      </c>
      <c r="C13" s="141"/>
      <c r="D13" s="209">
        <f>+D7*$C$3</f>
        <v>101.38</v>
      </c>
      <c r="E13" s="209">
        <f aca="true" t="shared" si="2" ref="E13:M13">+E7*$C$3</f>
        <v>101.01</v>
      </c>
      <c r="F13" s="209">
        <f t="shared" si="2"/>
        <v>100.64</v>
      </c>
      <c r="G13" s="209">
        <f t="shared" si="2"/>
        <v>99.16</v>
      </c>
      <c r="H13" s="209">
        <f t="shared" si="2"/>
        <v>98.78999999999999</v>
      </c>
      <c r="I13" s="209">
        <f t="shared" si="2"/>
        <v>98.05</v>
      </c>
      <c r="J13" s="209">
        <f t="shared" si="2"/>
        <v>97.31</v>
      </c>
      <c r="K13" s="209">
        <f t="shared" si="2"/>
        <v>96.2</v>
      </c>
      <c r="L13" s="209">
        <f t="shared" si="2"/>
        <v>95.46</v>
      </c>
      <c r="M13" s="210">
        <f t="shared" si="2"/>
        <v>94.72</v>
      </c>
    </row>
    <row r="14" spans="2:13" ht="15">
      <c r="B14" s="206" t="s">
        <v>80</v>
      </c>
      <c r="C14" s="141"/>
      <c r="D14" s="209">
        <f>+D7*$C$4</f>
        <v>38.36000000000001</v>
      </c>
      <c r="E14" s="209">
        <f aca="true" t="shared" si="3" ref="E14:M14">+E7*$C$4</f>
        <v>38.220000000000006</v>
      </c>
      <c r="F14" s="209">
        <f t="shared" si="3"/>
        <v>38.080000000000005</v>
      </c>
      <c r="G14" s="209">
        <f t="shared" si="3"/>
        <v>37.52</v>
      </c>
      <c r="H14" s="209">
        <f t="shared" si="3"/>
        <v>37.38</v>
      </c>
      <c r="I14" s="209">
        <f t="shared" si="3"/>
        <v>37.1</v>
      </c>
      <c r="J14" s="209">
        <f t="shared" si="3"/>
        <v>36.82</v>
      </c>
      <c r="K14" s="209">
        <f t="shared" si="3"/>
        <v>36.400000000000006</v>
      </c>
      <c r="L14" s="209">
        <f t="shared" si="3"/>
        <v>36.120000000000005</v>
      </c>
      <c r="M14" s="210">
        <f t="shared" si="3"/>
        <v>35.84</v>
      </c>
    </row>
    <row r="15" spans="2:13" ht="15.75" thickBot="1">
      <c r="B15" s="211"/>
      <c r="C15" s="170"/>
      <c r="D15" s="212">
        <f>SUM(D12:D14)</f>
        <v>274</v>
      </c>
      <c r="E15" s="212">
        <f aca="true" t="shared" si="4" ref="E15:M15">SUM(E12:E14)</f>
        <v>273.00000000000006</v>
      </c>
      <c r="F15" s="212">
        <f t="shared" si="4"/>
        <v>272</v>
      </c>
      <c r="G15" s="212">
        <f t="shared" si="4"/>
        <v>268</v>
      </c>
      <c r="H15" s="212">
        <f t="shared" si="4"/>
        <v>267</v>
      </c>
      <c r="I15" s="212">
        <f t="shared" si="4"/>
        <v>265</v>
      </c>
      <c r="J15" s="212">
        <f t="shared" si="4"/>
        <v>263</v>
      </c>
      <c r="K15" s="212">
        <f t="shared" si="4"/>
        <v>260</v>
      </c>
      <c r="L15" s="212">
        <f t="shared" si="4"/>
        <v>258</v>
      </c>
      <c r="M15" s="213">
        <f t="shared" si="4"/>
        <v>256</v>
      </c>
    </row>
    <row r="16" spans="2:13" ht="15.75" thickBot="1">
      <c r="B16" s="30"/>
      <c r="C16" s="30"/>
      <c r="D16" s="30"/>
      <c r="E16" s="30"/>
      <c r="F16" s="30"/>
      <c r="G16" s="30"/>
      <c r="H16" s="30"/>
      <c r="I16" s="30"/>
      <c r="J16" s="30"/>
      <c r="K16" s="30"/>
      <c r="L16" s="30"/>
      <c r="M16" s="30"/>
    </row>
    <row r="17" spans="2:13" ht="15">
      <c r="B17" s="214" t="s">
        <v>176</v>
      </c>
      <c r="C17" s="109"/>
      <c r="D17" s="109"/>
      <c r="E17" s="109"/>
      <c r="F17" s="109"/>
      <c r="G17" s="109"/>
      <c r="H17" s="109"/>
      <c r="I17" s="109"/>
      <c r="J17" s="109"/>
      <c r="K17" s="109"/>
      <c r="L17" s="109"/>
      <c r="M17" s="20"/>
    </row>
    <row r="18" spans="2:14" ht="15">
      <c r="B18" s="206" t="s">
        <v>78</v>
      </c>
      <c r="C18" s="103"/>
      <c r="D18" s="215">
        <f>+'Garðyrkja-innsláttur'!B11</f>
        <v>1500</v>
      </c>
      <c r="E18" s="215">
        <f>+D18*(1+'Garðyrkja-innsláttur'!$D11)</f>
        <v>1500</v>
      </c>
      <c r="F18" s="215">
        <f>+E18*(1+'Garðyrkja-innsláttur'!$D11)</f>
        <v>1500</v>
      </c>
      <c r="G18" s="215">
        <f>+F18*(1+'Garðyrkja-innsláttur'!$D11)</f>
        <v>1500</v>
      </c>
      <c r="H18" s="215">
        <f>+G18*(1+'Garðyrkja-innsláttur'!$D11)</f>
        <v>1500</v>
      </c>
      <c r="I18" s="215">
        <f>+H18*(1+'Garðyrkja-innsláttur'!$D11)</f>
        <v>1500</v>
      </c>
      <c r="J18" s="215">
        <f>+I18*(1+'Garðyrkja-innsláttur'!$D11)</f>
        <v>1500</v>
      </c>
      <c r="K18" s="215">
        <f>+J18*(1+'Garðyrkja-innsláttur'!$D11)</f>
        <v>1500</v>
      </c>
      <c r="L18" s="215">
        <f>+K18*(1+'Garðyrkja-innsláttur'!$D11)</f>
        <v>1500</v>
      </c>
      <c r="M18" s="216">
        <f>+L18*(1+'Garðyrkja-innsláttur'!$D11)</f>
        <v>1500</v>
      </c>
      <c r="N18" s="80">
        <f>+M18/D18</f>
        <v>1</v>
      </c>
    </row>
    <row r="19" spans="2:14" ht="15">
      <c r="B19" s="206" t="s">
        <v>79</v>
      </c>
      <c r="C19" s="103"/>
      <c r="D19" s="217">
        <f>+'Garðyrkja-innsláttur'!B12</f>
        <v>1800</v>
      </c>
      <c r="E19" s="215">
        <f>+D19*(1+'Garðyrkja-innsláttur'!$D12)</f>
        <v>1800</v>
      </c>
      <c r="F19" s="215">
        <f>+E19*(1+'Garðyrkja-innsláttur'!$D12)</f>
        <v>1800</v>
      </c>
      <c r="G19" s="215">
        <f>+F19*(1+'Garðyrkja-innsláttur'!$D12)</f>
        <v>1800</v>
      </c>
      <c r="H19" s="215">
        <f>+G19*(1+'Garðyrkja-innsláttur'!$D12)</f>
        <v>1800</v>
      </c>
      <c r="I19" s="215">
        <f>+H19*(1+'Garðyrkja-innsláttur'!$D12)</f>
        <v>1800</v>
      </c>
      <c r="J19" s="215">
        <f>+I19*(1+'Garðyrkja-innsláttur'!$D12)</f>
        <v>1800</v>
      </c>
      <c r="K19" s="215">
        <f>+J19*(1+'Garðyrkja-innsláttur'!$D12)</f>
        <v>1800</v>
      </c>
      <c r="L19" s="215">
        <f>+K19*(1+'Garðyrkja-innsláttur'!$D12)</f>
        <v>1800</v>
      </c>
      <c r="M19" s="216">
        <f>+L19*(1+'Garðyrkja-innsláttur'!$D12)</f>
        <v>1800</v>
      </c>
      <c r="N19" s="80">
        <f>+M19/D19</f>
        <v>1</v>
      </c>
    </row>
    <row r="20" spans="2:14" ht="15.75" thickBot="1">
      <c r="B20" s="211" t="s">
        <v>80</v>
      </c>
      <c r="C20" s="111"/>
      <c r="D20" s="218">
        <f>+'Garðyrkja-innsláttur'!B13</f>
        <v>225</v>
      </c>
      <c r="E20" s="219">
        <f>+D20*(1+'Garðyrkja-innsláttur'!$D13)</f>
        <v>225</v>
      </c>
      <c r="F20" s="219">
        <f>+E20*(1+'Garðyrkja-innsláttur'!$D13)</f>
        <v>225</v>
      </c>
      <c r="G20" s="219">
        <f>+F20*(1+'Garðyrkja-innsláttur'!$D13)</f>
        <v>225</v>
      </c>
      <c r="H20" s="219">
        <f>+G20*(1+'Garðyrkja-innsláttur'!$D13)</f>
        <v>225</v>
      </c>
      <c r="I20" s="219">
        <f>+H20*(1+'Garðyrkja-innsláttur'!$D13)</f>
        <v>225</v>
      </c>
      <c r="J20" s="219">
        <f>+I20*(1+'Garðyrkja-innsláttur'!$D13)</f>
        <v>225</v>
      </c>
      <c r="K20" s="219">
        <f>+J20*(1+'Garðyrkja-innsláttur'!$D13)</f>
        <v>225</v>
      </c>
      <c r="L20" s="219">
        <f>+K20*(1+'Garðyrkja-innsláttur'!$D13)</f>
        <v>225</v>
      </c>
      <c r="M20" s="220">
        <f>+L20*(1+'Garðyrkja-innsláttur'!$D13)</f>
        <v>225</v>
      </c>
      <c r="N20" s="80">
        <f>+M20/D20</f>
        <v>1</v>
      </c>
    </row>
    <row r="21" spans="3:11" ht="15">
      <c r="C21" t="s">
        <v>200</v>
      </c>
      <c r="E21" t="s">
        <v>194</v>
      </c>
      <c r="I21" t="s">
        <v>198</v>
      </c>
      <c r="K21" t="s">
        <v>199</v>
      </c>
    </row>
    <row r="22" spans="2:11" ht="15">
      <c r="B22" s="30" t="s">
        <v>177</v>
      </c>
      <c r="C22" t="s">
        <v>192</v>
      </c>
      <c r="D22" t="s">
        <v>35</v>
      </c>
      <c r="E22" t="s">
        <v>193</v>
      </c>
      <c r="F22" t="s">
        <v>195</v>
      </c>
      <c r="G22" t="s">
        <v>196</v>
      </c>
      <c r="I22" t="s">
        <v>197</v>
      </c>
      <c r="K22" t="s">
        <v>197</v>
      </c>
    </row>
    <row r="23" spans="2:11" ht="15">
      <c r="B23" s="30" t="s">
        <v>178</v>
      </c>
      <c r="C23">
        <v>57.7</v>
      </c>
      <c r="D23" s="80">
        <f>+C23/(C24+C23)</f>
        <v>0.7807848443843031</v>
      </c>
      <c r="E23">
        <v>5.21</v>
      </c>
      <c r="F23">
        <f>+D23*E23</f>
        <v>4.067889039242219</v>
      </c>
      <c r="G23">
        <f>+E23/E24</f>
        <v>0.700268817204301</v>
      </c>
      <c r="H23">
        <f>+C23*E23</f>
        <v>300.617</v>
      </c>
      <c r="I23" s="3">
        <v>0.87</v>
      </c>
      <c r="J23">
        <f>+H23*I23</f>
        <v>261.53679</v>
      </c>
      <c r="K23" s="3">
        <v>0.95</v>
      </c>
    </row>
    <row r="24" spans="2:11" ht="15">
      <c r="B24" s="30" t="s">
        <v>179</v>
      </c>
      <c r="C24">
        <v>16.2</v>
      </c>
      <c r="D24" s="80">
        <f>1-D23</f>
        <v>0.21921515561569693</v>
      </c>
      <c r="E24">
        <v>7.44</v>
      </c>
      <c r="F24">
        <f>+D24*E24</f>
        <v>1.6309607577807852</v>
      </c>
      <c r="G24">
        <f>+E24/E23</f>
        <v>1.4280230326295587</v>
      </c>
      <c r="H24">
        <f>+C24*E24</f>
        <v>120.528</v>
      </c>
      <c r="I24" s="3">
        <v>0.92</v>
      </c>
      <c r="J24">
        <f>+H24*I24</f>
        <v>110.88576</v>
      </c>
      <c r="K24" s="3">
        <v>0.95</v>
      </c>
    </row>
    <row r="25" spans="3:10" ht="15.75" thickBot="1">
      <c r="C25" s="129">
        <f>SUM(C23:C24)</f>
        <v>73.9</v>
      </c>
      <c r="F25">
        <f>SUM(F23:F24)</f>
        <v>5.698849797023005</v>
      </c>
      <c r="H25">
        <f>+C25*F25</f>
        <v>421.1450000000001</v>
      </c>
      <c r="J25">
        <f>SUM(J23:J24)</f>
        <v>372.42255</v>
      </c>
    </row>
    <row r="26" spans="2:13" ht="15">
      <c r="B26" s="235" t="s">
        <v>201</v>
      </c>
      <c r="C26" s="236"/>
      <c r="D26" s="236"/>
      <c r="E26" s="236"/>
      <c r="F26" s="236"/>
      <c r="G26" s="236"/>
      <c r="H26" s="236"/>
      <c r="I26" s="236"/>
      <c r="J26" s="236"/>
      <c r="K26" s="236"/>
      <c r="L26" s="236"/>
      <c r="M26" s="237"/>
    </row>
    <row r="27" spans="2:14" ht="15">
      <c r="B27" s="238" t="s">
        <v>215</v>
      </c>
      <c r="C27" s="226">
        <f>+'Garðyrkja-innsláttur'!B14</f>
        <v>73.9</v>
      </c>
      <c r="D27" s="226">
        <f>+C27</f>
        <v>73.9</v>
      </c>
      <c r="E27" s="226">
        <f>+D27*(1+'Garðyrkja-innsláttur'!$D$14)</f>
        <v>73.9</v>
      </c>
      <c r="F27" s="226">
        <f>+E27*(1+'Garðyrkja-innsláttur'!$D$14)</f>
        <v>73.9</v>
      </c>
      <c r="G27" s="226">
        <f>+F27*(1+'Garðyrkja-innsláttur'!$D$14)</f>
        <v>73.9</v>
      </c>
      <c r="H27" s="226">
        <f>+G27*(1+'Garðyrkja-innsláttur'!$D$14)</f>
        <v>73.9</v>
      </c>
      <c r="I27" s="226">
        <f>+H27*(1+'Garðyrkja-innsláttur'!$D$14)</f>
        <v>73.9</v>
      </c>
      <c r="J27" s="226">
        <f>+I27*(1+'Garðyrkja-innsláttur'!$D$14)</f>
        <v>73.9</v>
      </c>
      <c r="K27" s="226">
        <f>+J27*(1+'Garðyrkja-innsláttur'!$D$14)</f>
        <v>73.9</v>
      </c>
      <c r="L27" s="226">
        <f>+K27*(1+'Garðyrkja-innsláttur'!$D$14)</f>
        <v>73.9</v>
      </c>
      <c r="M27" s="239">
        <f>+L27*(1+'Garðyrkja-innsláttur'!$D$14)</f>
        <v>73.9</v>
      </c>
      <c r="N27" s="80">
        <f>+M27/D27</f>
        <v>1</v>
      </c>
    </row>
    <row r="28" spans="2:13" ht="15">
      <c r="B28" s="225" t="s">
        <v>210</v>
      </c>
      <c r="C28" s="226"/>
      <c r="D28" s="227">
        <f>+D8/$C$25</f>
        <v>3.761840324763193</v>
      </c>
      <c r="E28" s="227">
        <f aca="true" t="shared" si="5" ref="E28:M28">+E8/$C$25</f>
        <v>3.761840324763193</v>
      </c>
      <c r="F28" s="227">
        <f t="shared" si="5"/>
        <v>3.761840324763193</v>
      </c>
      <c r="G28" s="227">
        <f t="shared" si="5"/>
        <v>3.761840324763193</v>
      </c>
      <c r="H28" s="227">
        <f t="shared" si="5"/>
        <v>3.761840324763193</v>
      </c>
      <c r="I28" s="227">
        <f t="shared" si="5"/>
        <v>3.761840324763193</v>
      </c>
      <c r="J28" s="227">
        <f t="shared" si="5"/>
        <v>3.761840324763193</v>
      </c>
      <c r="K28" s="227">
        <f t="shared" si="5"/>
        <v>3.761840324763193</v>
      </c>
      <c r="L28" s="227">
        <f t="shared" si="5"/>
        <v>3.761840324763193</v>
      </c>
      <c r="M28" s="228">
        <f t="shared" si="5"/>
        <v>3.761840324763193</v>
      </c>
    </row>
    <row r="29" spans="2:13" ht="15.75" thickBot="1">
      <c r="B29" s="221" t="s">
        <v>212</v>
      </c>
      <c r="C29" s="222">
        <v>100000000</v>
      </c>
      <c r="D29" s="223">
        <f>+D8*0.15*1000000</f>
        <v>41699999.99999999</v>
      </c>
      <c r="E29" s="223">
        <f aca="true" t="shared" si="6" ref="E29:M29">+E8*0.15*1000000</f>
        <v>41699999.99999999</v>
      </c>
      <c r="F29" s="223">
        <f t="shared" si="6"/>
        <v>41699999.99999999</v>
      </c>
      <c r="G29" s="223">
        <f t="shared" si="6"/>
        <v>41699999.99999999</v>
      </c>
      <c r="H29" s="223">
        <f t="shared" si="6"/>
        <v>41699999.99999999</v>
      </c>
      <c r="I29" s="223">
        <f t="shared" si="6"/>
        <v>41699999.99999999</v>
      </c>
      <c r="J29" s="223">
        <f t="shared" si="6"/>
        <v>41699999.99999999</v>
      </c>
      <c r="K29" s="223">
        <f t="shared" si="6"/>
        <v>41699999.99999999</v>
      </c>
      <c r="L29" s="223">
        <f t="shared" si="6"/>
        <v>41699999.99999999</v>
      </c>
      <c r="M29" s="224">
        <f t="shared" si="6"/>
        <v>41699999.99999999</v>
      </c>
    </row>
    <row r="30" ht="15.75" thickBot="1"/>
    <row r="31" spans="2:13" ht="15">
      <c r="B31" s="115" t="s">
        <v>211</v>
      </c>
      <c r="C31" s="116"/>
      <c r="D31" s="116"/>
      <c r="E31" s="116"/>
      <c r="F31" s="116"/>
      <c r="G31" s="116"/>
      <c r="H31" s="116"/>
      <c r="I31" s="116"/>
      <c r="J31" s="116"/>
      <c r="K31" s="116"/>
      <c r="L31" s="116"/>
      <c r="M31" s="117"/>
    </row>
    <row r="32" spans="2:13" ht="15">
      <c r="B32" s="232" t="s">
        <v>78</v>
      </c>
      <c r="C32" s="233">
        <v>90</v>
      </c>
      <c r="D32" s="233">
        <f>+D12/D18*1000</f>
        <v>89.50666666666666</v>
      </c>
      <c r="E32" s="233">
        <f aca="true" t="shared" si="7" ref="E32:M32">+E12/E18*1000</f>
        <v>89.18</v>
      </c>
      <c r="F32" s="233">
        <f t="shared" si="7"/>
        <v>88.85333333333334</v>
      </c>
      <c r="G32" s="233">
        <f t="shared" si="7"/>
        <v>87.54666666666667</v>
      </c>
      <c r="H32" s="233">
        <f t="shared" si="7"/>
        <v>87.22</v>
      </c>
      <c r="I32" s="233">
        <f t="shared" si="7"/>
        <v>86.56666666666666</v>
      </c>
      <c r="J32" s="233">
        <f t="shared" si="7"/>
        <v>85.91333333333334</v>
      </c>
      <c r="K32" s="233">
        <f t="shared" si="7"/>
        <v>84.93333333333334</v>
      </c>
      <c r="L32" s="233">
        <f t="shared" si="7"/>
        <v>84.28</v>
      </c>
      <c r="M32" s="234">
        <f t="shared" si="7"/>
        <v>83.62666666666667</v>
      </c>
    </row>
    <row r="33" spans="2:13" ht="15">
      <c r="B33" s="232" t="s">
        <v>79</v>
      </c>
      <c r="C33" s="233">
        <v>50</v>
      </c>
      <c r="D33" s="233">
        <f aca="true" t="shared" si="8" ref="D33:M34">+D13/D19*1000</f>
        <v>56.322222222222216</v>
      </c>
      <c r="E33" s="233">
        <f t="shared" si="8"/>
        <v>56.11666666666667</v>
      </c>
      <c r="F33" s="233">
        <f t="shared" si="8"/>
        <v>55.91111111111111</v>
      </c>
      <c r="G33" s="233">
        <f t="shared" si="8"/>
        <v>55.08888888888889</v>
      </c>
      <c r="H33" s="233">
        <f t="shared" si="8"/>
        <v>54.883333333333326</v>
      </c>
      <c r="I33" s="233">
        <f t="shared" si="8"/>
        <v>54.47222222222222</v>
      </c>
      <c r="J33" s="233">
        <f t="shared" si="8"/>
        <v>54.06111111111112</v>
      </c>
      <c r="K33" s="233">
        <f t="shared" si="8"/>
        <v>53.44444444444445</v>
      </c>
      <c r="L33" s="233">
        <f t="shared" si="8"/>
        <v>53.03333333333333</v>
      </c>
      <c r="M33" s="234">
        <f t="shared" si="8"/>
        <v>52.62222222222222</v>
      </c>
    </row>
    <row r="34" spans="2:13" ht="15">
      <c r="B34" s="232" t="s">
        <v>80</v>
      </c>
      <c r="C34" s="233">
        <v>170</v>
      </c>
      <c r="D34" s="233">
        <f t="shared" si="8"/>
        <v>170.4888888888889</v>
      </c>
      <c r="E34" s="233">
        <f t="shared" si="8"/>
        <v>169.8666666666667</v>
      </c>
      <c r="F34" s="233">
        <f t="shared" si="8"/>
        <v>169.24444444444447</v>
      </c>
      <c r="G34" s="233">
        <f t="shared" si="8"/>
        <v>166.75555555555556</v>
      </c>
      <c r="H34" s="233">
        <f t="shared" si="8"/>
        <v>166.13333333333335</v>
      </c>
      <c r="I34" s="233">
        <f t="shared" si="8"/>
        <v>164.88888888888889</v>
      </c>
      <c r="J34" s="233">
        <f t="shared" si="8"/>
        <v>163.64444444444445</v>
      </c>
      <c r="K34" s="233">
        <f t="shared" si="8"/>
        <v>161.7777777777778</v>
      </c>
      <c r="L34" s="233">
        <f t="shared" si="8"/>
        <v>160.53333333333336</v>
      </c>
      <c r="M34" s="234">
        <f t="shared" si="8"/>
        <v>159.2888888888889</v>
      </c>
    </row>
    <row r="35" spans="2:13" ht="15.75" thickBot="1">
      <c r="B35" s="211" t="s">
        <v>212</v>
      </c>
      <c r="C35" s="229">
        <v>100000000</v>
      </c>
      <c r="D35" s="230">
        <f>+D15*0.1*1000000</f>
        <v>27400000.000000004</v>
      </c>
      <c r="E35" s="230">
        <f aca="true" t="shared" si="9" ref="E35:M35">+E15*0.1*1000000</f>
        <v>27300000.000000007</v>
      </c>
      <c r="F35" s="230">
        <f t="shared" si="9"/>
        <v>27200000.000000004</v>
      </c>
      <c r="G35" s="230">
        <f t="shared" si="9"/>
        <v>26800000</v>
      </c>
      <c r="H35" s="230">
        <f t="shared" si="9"/>
        <v>26700000.000000004</v>
      </c>
      <c r="I35" s="230">
        <f t="shared" si="9"/>
        <v>26500000</v>
      </c>
      <c r="J35" s="230">
        <f t="shared" si="9"/>
        <v>26300000</v>
      </c>
      <c r="K35" s="230">
        <f t="shared" si="9"/>
        <v>26000000</v>
      </c>
      <c r="L35" s="230">
        <f t="shared" si="9"/>
        <v>25800000</v>
      </c>
      <c r="M35" s="231">
        <f t="shared" si="9"/>
        <v>25600000</v>
      </c>
    </row>
  </sheetData>
  <sheetProtection password="F3A3" sheet="1" objects="1" scenarios="1" select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41"/>
  <sheetViews>
    <sheetView zoomScale="80" zoomScaleNormal="80" zoomScalePageLayoutView="0" workbookViewId="0" topLeftCell="A1">
      <selection activeCell="D7" sqref="D7"/>
    </sheetView>
  </sheetViews>
  <sheetFormatPr defaultColWidth="9.140625" defaultRowHeight="15"/>
  <cols>
    <col min="1" max="1" width="36.28125" style="0" customWidth="1"/>
    <col min="2" max="2" width="12.421875" style="0" bestFit="1" customWidth="1"/>
    <col min="3" max="3" width="3.421875" style="0" customWidth="1"/>
    <col min="4" max="14" width="14.28125" style="0" bestFit="1" customWidth="1"/>
  </cols>
  <sheetData>
    <row r="1" ht="42" customHeight="1">
      <c r="A1" s="29" t="s">
        <v>181</v>
      </c>
    </row>
    <row r="2" ht="105" customHeight="1" thickBot="1">
      <c r="A2" s="130" t="s">
        <v>180</v>
      </c>
    </row>
    <row r="3" spans="1:3" ht="24" customHeight="1" thickBot="1">
      <c r="A3" s="159" t="s">
        <v>113</v>
      </c>
      <c r="C3" s="8"/>
    </row>
    <row r="4" spans="1:5" ht="68.25" customHeight="1" thickBot="1">
      <c r="A4" s="78" t="s">
        <v>182</v>
      </c>
      <c r="B4" s="10" t="s">
        <v>109</v>
      </c>
      <c r="C4" s="14"/>
      <c r="D4" s="11" t="s">
        <v>163</v>
      </c>
      <c r="E4" s="11" t="s">
        <v>164</v>
      </c>
    </row>
    <row r="5" spans="1:5" ht="15">
      <c r="A5" s="9" t="s">
        <v>183</v>
      </c>
      <c r="B5" s="74">
        <v>1000</v>
      </c>
      <c r="C5" s="101"/>
      <c r="D5" s="20"/>
      <c r="E5" s="160"/>
    </row>
    <row r="6" spans="1:5" ht="15">
      <c r="A6" s="12" t="s">
        <v>184</v>
      </c>
      <c r="B6" s="75">
        <v>500</v>
      </c>
      <c r="C6" s="15"/>
      <c r="D6" s="171"/>
      <c r="E6" s="161"/>
    </row>
    <row r="7" spans="1:5" ht="15">
      <c r="A7" s="12" t="s">
        <v>185</v>
      </c>
      <c r="B7" s="75">
        <v>250</v>
      </c>
      <c r="C7" s="15"/>
      <c r="D7" s="171"/>
      <c r="E7" s="161"/>
    </row>
    <row r="8" spans="1:5" ht="15">
      <c r="A8" s="12" t="s">
        <v>188</v>
      </c>
      <c r="B8" s="77">
        <v>50</v>
      </c>
      <c r="C8" s="15"/>
      <c r="D8" s="171"/>
      <c r="E8" s="161"/>
    </row>
    <row r="9" spans="1:5" ht="15.75" thickBot="1">
      <c r="A9" s="13" t="s">
        <v>186</v>
      </c>
      <c r="B9" s="167">
        <v>5.21</v>
      </c>
      <c r="C9" s="21"/>
      <c r="D9" s="166"/>
      <c r="E9" s="161"/>
    </row>
    <row r="10" spans="1:5" ht="15">
      <c r="A10" s="108" t="s">
        <v>187</v>
      </c>
      <c r="B10" s="172"/>
      <c r="C10" s="102"/>
      <c r="D10" s="176"/>
      <c r="E10" s="124"/>
    </row>
    <row r="11" spans="1:5" ht="15">
      <c r="A11" s="12" t="s">
        <v>189</v>
      </c>
      <c r="B11" s="16">
        <v>1500</v>
      </c>
      <c r="C11" s="73"/>
      <c r="D11" s="164">
        <v>0</v>
      </c>
      <c r="E11" s="126">
        <f>+Garðyrkja!N18-1</f>
        <v>0</v>
      </c>
    </row>
    <row r="12" spans="1:5" ht="15">
      <c r="A12" s="12" t="s">
        <v>190</v>
      </c>
      <c r="B12" s="16">
        <v>1800</v>
      </c>
      <c r="C12" s="73"/>
      <c r="D12" s="164">
        <v>0</v>
      </c>
      <c r="E12" s="126">
        <f>+Garðyrkja!N19-1</f>
        <v>0</v>
      </c>
    </row>
    <row r="13" spans="1:5" ht="15">
      <c r="A13" s="12" t="s">
        <v>191</v>
      </c>
      <c r="B13" s="16">
        <v>225</v>
      </c>
      <c r="C13" s="73"/>
      <c r="D13" s="164">
        <v>0</v>
      </c>
      <c r="E13" s="126">
        <f>+Garðyrkja!N20-1</f>
        <v>0</v>
      </c>
    </row>
    <row r="14" spans="1:5" ht="15">
      <c r="A14" s="173" t="s">
        <v>203</v>
      </c>
      <c r="B14" s="107">
        <v>73.9</v>
      </c>
      <c r="C14" s="73"/>
      <c r="D14" s="164">
        <v>0</v>
      </c>
      <c r="E14" s="126">
        <f>+Garðyrkja!N27-1</f>
        <v>0</v>
      </c>
    </row>
    <row r="15" spans="1:5" ht="15.75" thickBot="1">
      <c r="A15" s="169" t="s">
        <v>202</v>
      </c>
      <c r="B15" s="174">
        <f>+Garðyrkja!D8/'Garðyrkja-innsláttur'!B14</f>
        <v>3.761840324763193</v>
      </c>
      <c r="C15" s="165"/>
      <c r="D15" s="179"/>
      <c r="E15" s="175"/>
    </row>
    <row r="16" spans="1:12" ht="15">
      <c r="A16" s="9"/>
      <c r="B16" s="172"/>
      <c r="C16" s="262" t="s">
        <v>115</v>
      </c>
      <c r="D16" s="262"/>
      <c r="E16" s="177"/>
      <c r="F16" s="105"/>
      <c r="G16" s="168"/>
      <c r="H16" s="168"/>
      <c r="I16" s="168"/>
      <c r="J16" s="168"/>
      <c r="K16" s="168"/>
      <c r="L16" s="168"/>
    </row>
    <row r="17" spans="1:12" ht="15.75" thickBot="1">
      <c r="A17" s="13"/>
      <c r="B17" s="178"/>
      <c r="C17" s="264" t="s">
        <v>114</v>
      </c>
      <c r="D17" s="264"/>
      <c r="E17" s="128"/>
      <c r="F17" s="168"/>
      <c r="G17" s="168"/>
      <c r="H17" s="168"/>
      <c r="I17" s="168"/>
      <c r="J17" s="168"/>
      <c r="K17" s="168"/>
      <c r="L17" s="168"/>
    </row>
    <row r="18" spans="1:4" ht="15">
      <c r="A18" s="103"/>
      <c r="B18" s="105"/>
      <c r="C18" s="104"/>
      <c r="D18" s="104"/>
    </row>
    <row r="19" spans="1:4" ht="15">
      <c r="A19" s="103"/>
      <c r="B19" s="105"/>
      <c r="C19" s="104"/>
      <c r="D19" s="104"/>
    </row>
    <row r="20" spans="1:4" ht="15">
      <c r="A20" s="103"/>
      <c r="B20" s="105"/>
      <c r="C20" s="104"/>
      <c r="D20" s="104"/>
    </row>
    <row r="21" ht="12.75" customHeight="1">
      <c r="C21" s="8"/>
    </row>
    <row r="23" spans="1:4" ht="15" customHeight="1">
      <c r="A23" s="7"/>
      <c r="D23" s="8"/>
    </row>
    <row r="24" spans="1:14" ht="32.25" customHeight="1">
      <c r="A24" s="25" t="s">
        <v>146</v>
      </c>
      <c r="B24" s="22"/>
      <c r="C24" s="22"/>
      <c r="D24" s="26" t="s">
        <v>123</v>
      </c>
      <c r="E24" s="27"/>
      <c r="F24" s="28" t="s">
        <v>119</v>
      </c>
      <c r="G24" s="27" t="s">
        <v>120</v>
      </c>
      <c r="H24" s="27"/>
      <c r="I24" s="27"/>
      <c r="J24" s="27"/>
      <c r="K24" s="27" t="s">
        <v>120</v>
      </c>
      <c r="L24" s="27"/>
      <c r="M24" s="27"/>
      <c r="N24" s="27"/>
    </row>
    <row r="25" spans="1:14" ht="17.25" customHeight="1">
      <c r="A25" s="131" t="s">
        <v>167</v>
      </c>
      <c r="B25" s="132"/>
      <c r="C25" s="132"/>
      <c r="D25" s="133"/>
      <c r="E25" s="134">
        <f>+Rammi!D42</f>
        <v>1</v>
      </c>
      <c r="F25" s="134">
        <f>+Rammi!E42</f>
        <v>0.9894759761939323</v>
      </c>
      <c r="G25" s="134">
        <f>+Rammi!F42</f>
        <v>0.986427638263899</v>
      </c>
      <c r="H25" s="134">
        <f>+Rammi!G42</f>
        <v>0.9728552765277979</v>
      </c>
      <c r="I25" s="134">
        <f>+Rammi!H42</f>
        <v>0.9661779648715343</v>
      </c>
      <c r="J25" s="134">
        <f>+Rammi!I42</f>
        <v>0.9551458847437945</v>
      </c>
      <c r="K25" s="134">
        <f>+Rammi!J42</f>
        <v>0.9457831325301205</v>
      </c>
      <c r="L25" s="134">
        <f>+Rammi!K42</f>
        <v>0.9369284366381188</v>
      </c>
      <c r="M25" s="134">
        <f>+Rammi!L42</f>
        <v>0.9279285817970678</v>
      </c>
      <c r="N25" s="134">
        <f>+Rammi!M42</f>
        <v>0.9186384090579184</v>
      </c>
    </row>
    <row r="26" spans="1:14" ht="16.5" thickBot="1">
      <c r="A26" s="156" t="s">
        <v>74</v>
      </c>
      <c r="B26" s="24"/>
      <c r="C26" s="24"/>
      <c r="D26" s="23">
        <v>2016</v>
      </c>
      <c r="E26" s="23">
        <v>2017</v>
      </c>
      <c r="F26" s="23">
        <v>2018</v>
      </c>
      <c r="G26" s="23">
        <v>2019</v>
      </c>
      <c r="H26" s="23">
        <v>2020</v>
      </c>
      <c r="I26" s="23">
        <v>2021</v>
      </c>
      <c r="J26" s="23">
        <v>2022</v>
      </c>
      <c r="K26" s="23">
        <v>2023</v>
      </c>
      <c r="L26" s="23">
        <v>2024</v>
      </c>
      <c r="M26" s="23">
        <v>2025</v>
      </c>
      <c r="N26" s="23">
        <v>2026</v>
      </c>
    </row>
    <row r="27" spans="1:14" ht="15">
      <c r="A27" s="30" t="s">
        <v>204</v>
      </c>
      <c r="B27" s="30"/>
      <c r="C27" s="30"/>
      <c r="D27" s="87">
        <f>IF($B$5&gt;0,$B$5*Garðyrkja!C32)</f>
        <v>90000</v>
      </c>
      <c r="E27" s="93">
        <f>IF($B$5&gt;0,$B$5*Garðyrkja!D32)</f>
        <v>89506.66666666666</v>
      </c>
      <c r="F27" s="93">
        <f>IF($B$5&gt;0,$B$5*Garðyrkja!E32)</f>
        <v>89180</v>
      </c>
      <c r="G27" s="93">
        <f>IF($B$5&gt;0,$B$5*Garðyrkja!F32)</f>
        <v>88853.33333333334</v>
      </c>
      <c r="H27" s="93">
        <f>IF($B$5&gt;0,$B$5*Garðyrkja!G32)</f>
        <v>87546.66666666667</v>
      </c>
      <c r="I27" s="93">
        <f>IF($B$5&gt;0,$B$5*Garðyrkja!H32)</f>
        <v>87220</v>
      </c>
      <c r="J27" s="93">
        <f>IF($B$5&gt;0,$B$5*Garðyrkja!I32)</f>
        <v>86566.66666666666</v>
      </c>
      <c r="K27" s="93">
        <f>IF($B$5&gt;0,$B$5*Garðyrkja!J32)</f>
        <v>85913.33333333334</v>
      </c>
      <c r="L27" s="93">
        <f>IF($B$5&gt;0,$B$5*Garðyrkja!K32)</f>
        <v>84933.33333333334</v>
      </c>
      <c r="M27" s="93">
        <f>IF($B$5&gt;0,$B$5*Garðyrkja!L32)</f>
        <v>84280</v>
      </c>
      <c r="N27" s="93">
        <f>IF($B$5&gt;0,$B$5*Garðyrkja!M32)</f>
        <v>83626.66666666667</v>
      </c>
    </row>
    <row r="28" spans="1:14" ht="15">
      <c r="A28" s="30" t="s">
        <v>205</v>
      </c>
      <c r="B28" s="30"/>
      <c r="C28" s="30"/>
      <c r="D28" s="87">
        <f>IF($B$6&gt;0,$B$6*Garðyrkja!C33)</f>
        <v>25000</v>
      </c>
      <c r="E28" s="93">
        <f>IF($B$6&gt;0,$B$6*Garðyrkja!D33)</f>
        <v>28161.11111111111</v>
      </c>
      <c r="F28" s="93">
        <f>IF($B$6&gt;0,$B$6*Garðyrkja!E33)</f>
        <v>28058.333333333332</v>
      </c>
      <c r="G28" s="93">
        <f>IF($B$6&gt;0,$B$6*Garðyrkja!F33)</f>
        <v>27955.555555555555</v>
      </c>
      <c r="H28" s="93">
        <f>IF($B$6&gt;0,$B$6*Garðyrkja!G33)</f>
        <v>27544.444444444445</v>
      </c>
      <c r="I28" s="93">
        <f>IF($B$6&gt;0,$B$6*Garðyrkja!H33)</f>
        <v>27441.666666666664</v>
      </c>
      <c r="J28" s="93">
        <f>IF($B$6&gt;0,$B$6*Garðyrkja!I33)</f>
        <v>27236.11111111111</v>
      </c>
      <c r="K28" s="93">
        <f>IF($B$6&gt;0,$B$6*Garðyrkja!J33)</f>
        <v>27030.55555555556</v>
      </c>
      <c r="L28" s="93">
        <f>IF($B$6&gt;0,$B$6*Garðyrkja!K33)</f>
        <v>26722.222222222226</v>
      </c>
      <c r="M28" s="93">
        <f>IF($B$6&gt;0,$B$6*Garðyrkja!L33)</f>
        <v>26516.666666666664</v>
      </c>
      <c r="N28" s="93">
        <f>IF($B$6&gt;0,$B$6*Garðyrkja!M33)</f>
        <v>26311.11111111111</v>
      </c>
    </row>
    <row r="29" spans="1:14" ht="15">
      <c r="A29" s="30" t="s">
        <v>206</v>
      </c>
      <c r="B29" s="30"/>
      <c r="C29" s="30"/>
      <c r="D29" s="87">
        <f>IF($B$7&gt;0,$B$7*Garðyrkja!C34)</f>
        <v>42500</v>
      </c>
      <c r="E29" s="93">
        <f>IF($B$7&gt;0,$B$7*Garðyrkja!D34)</f>
        <v>42622.222222222226</v>
      </c>
      <c r="F29" s="93">
        <f>IF($B$7&gt;0,$B$7*Garðyrkja!E34)</f>
        <v>42466.66666666668</v>
      </c>
      <c r="G29" s="93">
        <f>IF($B$7&gt;0,$B$7*Garðyrkja!F34)</f>
        <v>42311.11111111112</v>
      </c>
      <c r="H29" s="93">
        <f>IF($B$7&gt;0,$B$7*Garðyrkja!G34)</f>
        <v>41688.88888888889</v>
      </c>
      <c r="I29" s="93">
        <f>IF($B$7&gt;0,$B$7*Garðyrkja!H34)</f>
        <v>41533.333333333336</v>
      </c>
      <c r="J29" s="93">
        <f>IF($B$7&gt;0,$B$7*Garðyrkja!I34)</f>
        <v>41222.22222222222</v>
      </c>
      <c r="K29" s="93">
        <f>IF($B$7&gt;0,$B$7*Garðyrkja!J34)</f>
        <v>40911.11111111111</v>
      </c>
      <c r="L29" s="93">
        <f>IF($B$7&gt;0,$B$7*Garðyrkja!K34)</f>
        <v>40444.44444444445</v>
      </c>
      <c r="M29" s="93">
        <f>IF($B$7&gt;0,$B$7*Garðyrkja!L34)</f>
        <v>40133.33333333334</v>
      </c>
      <c r="N29" s="93">
        <f>IF($B$7&gt;0,$B$7*Garðyrkja!M34)</f>
        <v>39822.222222222226</v>
      </c>
    </row>
    <row r="30" spans="1:14" ht="15">
      <c r="A30" s="141" t="s">
        <v>208</v>
      </c>
      <c r="B30" s="30"/>
      <c r="C30" s="30"/>
      <c r="D30" s="87"/>
      <c r="E30" s="93">
        <f>+IF(SUM(E27:E29)&gt;Garðyrkja!D35,Garðyrkja!D35-SUM(E27:E29),0)</f>
        <v>0</v>
      </c>
      <c r="F30" s="93">
        <f>+IF(SUM(F27:F29)&gt;Garðyrkja!E35,Garðyrkja!E35-SUM(F27:F29),0)</f>
        <v>0</v>
      </c>
      <c r="G30" s="93">
        <f>+IF(SUM(G27:G29)&gt;Garðyrkja!F35,Garðyrkja!F35-SUM(G27:G29),0)</f>
        <v>0</v>
      </c>
      <c r="H30" s="93">
        <f>+IF(SUM(H27:H29)&gt;Garðyrkja!G35,Garðyrkja!G35-SUM(H27:H29),0)</f>
        <v>0</v>
      </c>
      <c r="I30" s="93">
        <f>+IF(SUM(I27:I29)&gt;Garðyrkja!H35,Garðyrkja!H35-SUM(I27:I29),0)</f>
        <v>0</v>
      </c>
      <c r="J30" s="93">
        <f>+IF(SUM(J27:J29)&gt;Garðyrkja!I35,Garðyrkja!I35-SUM(J27:J29),0)</f>
        <v>0</v>
      </c>
      <c r="K30" s="93">
        <f>+IF(SUM(K27:K29)&gt;Garðyrkja!J35,Garðyrkja!J35-SUM(K27:K29),0)</f>
        <v>0</v>
      </c>
      <c r="L30" s="93">
        <f>+IF(SUM(L27:L29)&gt;Garðyrkja!K35,Garðyrkja!K35-SUM(L27:L29),0)</f>
        <v>0</v>
      </c>
      <c r="M30" s="93">
        <f>+IF(SUM(M27:M29)&gt;Garðyrkja!L35,Garðyrkja!L35-SUM(M27:M29),0)</f>
        <v>0</v>
      </c>
      <c r="N30" s="93">
        <f>+IF(SUM(N27:N29)&gt;Garðyrkja!M35,Garðyrkja!M35-SUM(N27:N29),0)</f>
        <v>0</v>
      </c>
    </row>
    <row r="31" spans="1:14" ht="15">
      <c r="A31" s="30" t="s">
        <v>207</v>
      </c>
      <c r="B31" s="30"/>
      <c r="C31" s="30"/>
      <c r="D31" s="87"/>
      <c r="E31" s="93"/>
      <c r="F31" s="88"/>
      <c r="G31" s="88"/>
      <c r="H31" s="88"/>
      <c r="I31" s="88"/>
      <c r="J31" s="88"/>
      <c r="K31" s="88"/>
      <c r="L31" s="88"/>
      <c r="M31" s="88"/>
      <c r="N31" s="88"/>
    </row>
    <row r="32" spans="1:14" ht="15">
      <c r="A32" s="141" t="s">
        <v>208</v>
      </c>
      <c r="B32" s="141"/>
      <c r="C32" s="141"/>
      <c r="D32" s="87"/>
      <c r="E32" s="93">
        <f>+IF(E31&gt;Garðyrkja!D29,Garðyrkja!D29-E31,0)</f>
        <v>0</v>
      </c>
      <c r="F32" s="93">
        <f>+IF(F31&gt;Garðyrkja!E29,Garðyrkja!E29-F31,0)</f>
        <v>0</v>
      </c>
      <c r="G32" s="93">
        <f>+IF(G31&gt;Garðyrkja!F29,Garðyrkja!F29-G31,0)</f>
        <v>0</v>
      </c>
      <c r="H32" s="93">
        <f>+IF(H31&gt;Garðyrkja!G29,Garðyrkja!G29-H31,0)</f>
        <v>0</v>
      </c>
      <c r="I32" s="93">
        <f>+IF(I31&gt;Garðyrkja!H29,Garðyrkja!H29-I31,0)</f>
        <v>0</v>
      </c>
      <c r="J32" s="93">
        <f>+IF(J31&gt;Garðyrkja!I29,Garðyrkja!I29-J31,0)</f>
        <v>0</v>
      </c>
      <c r="K32" s="93">
        <f>+IF(K31&gt;Garðyrkja!J29,Garðyrkja!J29-K31,0)</f>
        <v>0</v>
      </c>
      <c r="L32" s="93">
        <f>+IF(L31&gt;Garðyrkja!K29,Garðyrkja!K29-L31,0)</f>
        <v>0</v>
      </c>
      <c r="M32" s="93">
        <f>+IF(M31&gt;Garðyrkja!L29,Garðyrkja!L29-M31,0)</f>
        <v>0</v>
      </c>
      <c r="N32" s="93">
        <f>+IF(N31&gt;Garðyrkja!M29,Garðyrkja!M29-N31,0)</f>
        <v>0</v>
      </c>
    </row>
    <row r="33" spans="1:14" ht="15">
      <c r="A33" s="32" t="s">
        <v>209</v>
      </c>
      <c r="B33" s="33"/>
      <c r="C33" s="33"/>
      <c r="D33" s="90">
        <f aca="true" t="shared" si="0" ref="D33:N33">SUM(D27:D32)</f>
        <v>157500</v>
      </c>
      <c r="E33" s="90">
        <f t="shared" si="0"/>
        <v>160290</v>
      </c>
      <c r="F33" s="90">
        <f t="shared" si="0"/>
        <v>159705</v>
      </c>
      <c r="G33" s="90">
        <f t="shared" si="0"/>
        <v>159120.00000000003</v>
      </c>
      <c r="H33" s="90">
        <f t="shared" si="0"/>
        <v>156780</v>
      </c>
      <c r="I33" s="90">
        <f t="shared" si="0"/>
        <v>156195</v>
      </c>
      <c r="J33" s="90">
        <f t="shared" si="0"/>
        <v>155025</v>
      </c>
      <c r="K33" s="90">
        <f t="shared" si="0"/>
        <v>153855</v>
      </c>
      <c r="L33" s="90">
        <f t="shared" si="0"/>
        <v>152100</v>
      </c>
      <c r="M33" s="90">
        <f t="shared" si="0"/>
        <v>150930</v>
      </c>
      <c r="N33" s="90">
        <f t="shared" si="0"/>
        <v>149760</v>
      </c>
    </row>
    <row r="34" spans="1:14" ht="15">
      <c r="A34" s="34" t="s">
        <v>160</v>
      </c>
      <c r="B34" s="35"/>
      <c r="C34" s="35"/>
      <c r="D34" s="36"/>
      <c r="E34" s="37">
        <v>1</v>
      </c>
      <c r="F34" s="37">
        <f>+IF($E$33&gt;0,F33/$E$33,)</f>
        <v>0.9963503649635036</v>
      </c>
      <c r="G34" s="37">
        <f aca="true" t="shared" si="1" ref="G34:N34">+IF($E$33&gt;0,G33/$E$33,)</f>
        <v>0.9927007299270075</v>
      </c>
      <c r="H34" s="37">
        <f t="shared" si="1"/>
        <v>0.9781021897810219</v>
      </c>
      <c r="I34" s="37">
        <f t="shared" si="1"/>
        <v>0.9744525547445255</v>
      </c>
      <c r="J34" s="37">
        <f t="shared" si="1"/>
        <v>0.9671532846715328</v>
      </c>
      <c r="K34" s="37">
        <f t="shared" si="1"/>
        <v>0.9598540145985401</v>
      </c>
      <c r="L34" s="37">
        <f t="shared" si="1"/>
        <v>0.948905109489051</v>
      </c>
      <c r="M34" s="37">
        <f t="shared" si="1"/>
        <v>0.9416058394160584</v>
      </c>
      <c r="N34" s="37">
        <f t="shared" si="1"/>
        <v>0.9343065693430657</v>
      </c>
    </row>
    <row r="36" spans="1:14" ht="27.75" customHeight="1">
      <c r="A36" s="83" t="s">
        <v>147</v>
      </c>
      <c r="B36" s="79"/>
      <c r="C36" s="79"/>
      <c r="D36" s="79"/>
      <c r="E36" s="79"/>
      <c r="F36" s="79"/>
      <c r="G36" s="79"/>
      <c r="H36" s="79"/>
      <c r="I36" s="79"/>
      <c r="J36" s="79"/>
      <c r="K36" s="79"/>
      <c r="L36" s="79"/>
      <c r="M36" s="79"/>
      <c r="N36" s="79"/>
    </row>
    <row r="38" ht="15">
      <c r="A38" s="81" t="s">
        <v>150</v>
      </c>
    </row>
    <row r="39" spans="1:3" ht="15">
      <c r="A39" s="8"/>
      <c r="C39" s="85"/>
    </row>
    <row r="40" spans="1:14" ht="15">
      <c r="A40" s="8"/>
      <c r="C40" s="85"/>
      <c r="D40">
        <f>+D26</f>
        <v>2016</v>
      </c>
      <c r="E40">
        <f aca="true" t="shared" si="2" ref="E40:N40">+E26</f>
        <v>2017</v>
      </c>
      <c r="F40">
        <f t="shared" si="2"/>
        <v>2018</v>
      </c>
      <c r="G40">
        <f t="shared" si="2"/>
        <v>2019</v>
      </c>
      <c r="H40">
        <f t="shared" si="2"/>
        <v>2020</v>
      </c>
      <c r="I40">
        <f t="shared" si="2"/>
        <v>2021</v>
      </c>
      <c r="J40">
        <f t="shared" si="2"/>
        <v>2022</v>
      </c>
      <c r="K40">
        <f t="shared" si="2"/>
        <v>2023</v>
      </c>
      <c r="L40">
        <f t="shared" si="2"/>
        <v>2024</v>
      </c>
      <c r="M40">
        <f t="shared" si="2"/>
        <v>2025</v>
      </c>
      <c r="N40">
        <f t="shared" si="2"/>
        <v>2026</v>
      </c>
    </row>
    <row r="41" spans="1:14" ht="15">
      <c r="A41" s="81" t="s">
        <v>153</v>
      </c>
      <c r="C41" s="86" t="s">
        <v>95</v>
      </c>
      <c r="D41" s="82">
        <f>+D33</f>
        <v>157500</v>
      </c>
      <c r="E41" s="82">
        <f aca="true" t="shared" si="3" ref="E41:N41">+E33</f>
        <v>160290</v>
      </c>
      <c r="F41" s="82">
        <f t="shared" si="3"/>
        <v>159705</v>
      </c>
      <c r="G41" s="82">
        <f t="shared" si="3"/>
        <v>159120.00000000003</v>
      </c>
      <c r="H41" s="82">
        <f t="shared" si="3"/>
        <v>156780</v>
      </c>
      <c r="I41" s="82">
        <f t="shared" si="3"/>
        <v>156195</v>
      </c>
      <c r="J41" s="82">
        <f t="shared" si="3"/>
        <v>155025</v>
      </c>
      <c r="K41" s="82">
        <f t="shared" si="3"/>
        <v>153855</v>
      </c>
      <c r="L41" s="82">
        <f t="shared" si="3"/>
        <v>152100</v>
      </c>
      <c r="M41" s="82">
        <f t="shared" si="3"/>
        <v>150930</v>
      </c>
      <c r="N41" s="82">
        <f t="shared" si="3"/>
        <v>149760</v>
      </c>
    </row>
  </sheetData>
  <sheetProtection password="F3A3" sheet="1" objects="1" scenarios="1" selectLockedCells="1"/>
  <mergeCells count="2">
    <mergeCell ref="C16:D16"/>
    <mergeCell ref="C17:D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Jóhanna Lind Elíasdóttir</dc:creator>
  <cp:keywords/>
  <dc:description/>
  <cp:lastModifiedBy>Guðmundur Jóhannesson</cp:lastModifiedBy>
  <cp:lastPrinted>2016-03-03T17:41:16Z</cp:lastPrinted>
  <dcterms:created xsi:type="dcterms:W3CDTF">2016-02-21T00:08:24Z</dcterms:created>
  <dcterms:modified xsi:type="dcterms:W3CDTF">2016-03-11T08:38:45Z</dcterms:modified>
  <cp:category/>
  <cp:version/>
  <cp:contentType/>
  <cp:contentStatus/>
</cp:coreProperties>
</file>